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Bovedilla\Promocion\AA Sonia\2401 BPM-15 ENTRENUCLEOS. DOS HERMANAS\03 ECONOMICO-FINANCIERO\000 ESTUDIO ECONÓMICO\"/>
    </mc:Choice>
  </mc:AlternateContent>
  <xr:revisionPtr revIDLastSave="0" documentId="13_ncr:1_{CADA6611-35D7-4D50-8792-7D19538EBF88}" xr6:coauthVersionLast="47" xr6:coauthVersionMax="47" xr10:uidLastSave="{00000000-0000-0000-0000-000000000000}"/>
  <bookViews>
    <workbookView xWindow="-108" yWindow="-108" windowWidth="23256" windowHeight="12576" tabRatio="860" xr2:uid="{00000000-000D-0000-FFFF-FFFF00000000}"/>
  </bookViews>
  <sheets>
    <sheet name="CUENTA DE RESULTADOS" sheetId="11" r:id="rId1"/>
    <sheet name="Cuenta de Tesoreria" sheetId="50" r:id="rId2"/>
    <sheet name="Extremadura" sheetId="37" state="hidden" r:id="rId3"/>
  </sheets>
  <definedNames>
    <definedName name="_xlnm.Print_Area" localSheetId="0">'CUENTA DE RESULTADOS'!$A$1:$J$53</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0">'CUENTA DE RESULTADOS'!$4:$7</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1" l="1"/>
  <c r="G21" i="11"/>
  <c r="G16" i="11"/>
  <c r="H47" i="11"/>
  <c r="H49" i="11" s="1"/>
  <c r="D34" i="50"/>
  <c r="D33" i="50"/>
  <c r="D30" i="50"/>
  <c r="D29" i="50"/>
  <c r="D28" i="50"/>
  <c r="F43" i="50" l="1"/>
  <c r="F15" i="50"/>
  <c r="G43" i="50" l="1"/>
  <c r="H43" i="50" l="1"/>
  <c r="I43" i="50" s="1"/>
  <c r="H29" i="11" l="1"/>
  <c r="G15" i="50" l="1"/>
  <c r="H31" i="11" l="1"/>
  <c r="R21" i="37" l="1"/>
  <c r="R20" i="37"/>
  <c r="R19" i="37"/>
  <c r="R18" i="37"/>
  <c r="R17" i="37"/>
  <c r="M15" i="37"/>
  <c r="O13" i="37"/>
  <c r="O11" i="37"/>
  <c r="O10" i="37"/>
  <c r="O9" i="37"/>
  <c r="O8" i="37"/>
  <c r="L14" i="37" s="1"/>
  <c r="O7" i="37"/>
  <c r="O6" i="37"/>
  <c r="O5" i="37"/>
  <c r="O4" i="37"/>
  <c r="O3" i="37"/>
  <c r="O2" i="37"/>
  <c r="O1" i="37"/>
  <c r="M14" i="37" s="1"/>
  <c r="H27" i="11"/>
  <c r="H26" i="11"/>
  <c r="H25" i="11" l="1"/>
  <c r="I27" i="11"/>
  <c r="H15" i="50" l="1"/>
  <c r="I15" i="50" l="1"/>
  <c r="J15" i="50" l="1"/>
  <c r="K15" i="50" l="1"/>
  <c r="L15" i="50" l="1"/>
  <c r="M15" i="50" l="1"/>
  <c r="N15" i="50" l="1"/>
  <c r="O15" i="50" l="1"/>
  <c r="P15" i="50"/>
  <c r="Q15" i="50" l="1"/>
  <c r="R15" i="50" l="1"/>
  <c r="S15" i="50" l="1"/>
  <c r="T15" i="50" l="1"/>
  <c r="U15" i="50" l="1"/>
  <c r="V15" i="50" l="1"/>
  <c r="W15" i="50" l="1"/>
  <c r="X15" i="50" l="1"/>
  <c r="Y15" i="50" l="1"/>
  <c r="Z15" i="50" l="1"/>
  <c r="AA15" i="50" l="1"/>
  <c r="AB15" i="50" l="1"/>
  <c r="AC15" i="50" l="1"/>
  <c r="AD15" i="50" l="1"/>
  <c r="AE15" i="50" l="1"/>
  <c r="AF15" i="50" l="1"/>
  <c r="AG15" i="50" l="1"/>
  <c r="AH15" i="50" l="1"/>
  <c r="AI15" i="50" l="1"/>
  <c r="AJ15" i="50" l="1"/>
  <c r="AK15" i="50" l="1"/>
  <c r="AL15" i="50" l="1"/>
  <c r="AM15" i="50" l="1"/>
  <c r="AN15" i="50" l="1"/>
  <c r="AO15" i="50" l="1"/>
  <c r="AP15" i="50" l="1"/>
  <c r="AQ15" i="50" l="1"/>
  <c r="AR15" i="50" l="1"/>
  <c r="AS15" i="50" l="1"/>
  <c r="AT15" i="50" l="1"/>
  <c r="AU15" i="50" l="1"/>
  <c r="J43" i="50" l="1"/>
  <c r="K43" i="50" l="1"/>
  <c r="L43" i="50" s="1"/>
  <c r="M43" i="50" s="1"/>
  <c r="N43" i="50" s="1"/>
  <c r="O43" i="50" l="1"/>
  <c r="P43" i="50" s="1"/>
  <c r="Q43" i="50" s="1"/>
  <c r="R43" i="50" s="1"/>
  <c r="S43" i="50" s="1"/>
  <c r="T43" i="50" s="1"/>
  <c r="U43" i="50" s="1"/>
  <c r="V43" i="50" s="1"/>
  <c r="W43" i="50" s="1"/>
  <c r="X43" i="50" s="1"/>
  <c r="Y43" i="50" s="1"/>
  <c r="Z43" i="50" s="1"/>
  <c r="AA43" i="50" s="1"/>
  <c r="AB43" i="50" s="1"/>
  <c r="AC43" i="50" s="1"/>
  <c r="AD43" i="50" s="1"/>
  <c r="AE43" i="50" s="1"/>
  <c r="AF43" i="50" s="1"/>
  <c r="AG43" i="50" s="1"/>
  <c r="AH43" i="50" s="1"/>
  <c r="AI43" i="50" s="1"/>
  <c r="AJ43" i="50" s="1"/>
  <c r="AK43" i="50" s="1"/>
  <c r="AL43" i="50" s="1"/>
  <c r="AM43" i="50" s="1"/>
  <c r="AN43" i="50" l="1"/>
  <c r="AO43" i="50" s="1"/>
  <c r="AP43" i="50" s="1"/>
  <c r="AQ43" i="50" s="1"/>
  <c r="AR43" i="50" l="1"/>
  <c r="AS43" i="50" s="1"/>
  <c r="AT43" i="50" s="1"/>
  <c r="AU43" i="50" s="1"/>
  <c r="D43" i="50" s="1"/>
  <c r="H24" i="11" l="1"/>
  <c r="H23" i="11" l="1"/>
  <c r="G25" i="11" l="1"/>
  <c r="H40" i="11" l="1"/>
  <c r="G31" i="11"/>
  <c r="H44" i="11" l="1"/>
  <c r="AT7" i="50" l="1"/>
  <c r="F7" i="50" l="1"/>
  <c r="J7" i="50"/>
  <c r="K7" i="50"/>
  <c r="AS7" i="50"/>
  <c r="N7" i="50"/>
  <c r="I7" i="50"/>
  <c r="M7" i="50"/>
  <c r="H7" i="50"/>
  <c r="G7" i="50"/>
  <c r="AR7" i="50"/>
  <c r="L7" i="50"/>
  <c r="AU7" i="50" l="1"/>
  <c r="G37" i="50"/>
  <c r="P7" i="50"/>
  <c r="H37" i="50" l="1"/>
  <c r="I37" i="50" s="1"/>
  <c r="J37" i="50" s="1"/>
  <c r="K37" i="50" s="1"/>
  <c r="L37" i="50" s="1"/>
  <c r="M37" i="50" s="1"/>
  <c r="N37" i="50" s="1"/>
  <c r="T7" i="50"/>
  <c r="AM7" i="50"/>
  <c r="Z7" i="50"/>
  <c r="AC7" i="50"/>
  <c r="AJ7" i="50"/>
  <c r="AE7" i="50"/>
  <c r="AD7" i="50"/>
  <c r="U7" i="50"/>
  <c r="Q7" i="50"/>
  <c r="S7" i="50"/>
  <c r="AB7" i="50"/>
  <c r="AH7" i="50"/>
  <c r="O7" i="50"/>
  <c r="AL7" i="50"/>
  <c r="AA7" i="50"/>
  <c r="R7" i="50"/>
  <c r="W7" i="50"/>
  <c r="AI7" i="50"/>
  <c r="V7" i="50"/>
  <c r="X7" i="50"/>
  <c r="Y7" i="50"/>
  <c r="AK7" i="50"/>
  <c r="AF7" i="50"/>
  <c r="AG7" i="50"/>
  <c r="O37" i="50" l="1"/>
  <c r="P37" i="50" l="1"/>
  <c r="Q37" i="50" s="1"/>
  <c r="R37" i="50" s="1"/>
  <c r="S37" i="50" s="1"/>
  <c r="T37" i="50" s="1"/>
  <c r="U37" i="50" s="1"/>
  <c r="V37" i="50" s="1"/>
  <c r="W37" i="50" s="1"/>
  <c r="X37" i="50" s="1"/>
  <c r="Y37" i="50" s="1"/>
  <c r="Z37" i="50" s="1"/>
  <c r="AA37" i="50" s="1"/>
  <c r="AB37" i="50" s="1"/>
  <c r="AC37" i="50" s="1"/>
  <c r="AD37" i="50" s="1"/>
  <c r="AE37" i="50" s="1"/>
  <c r="AF37" i="50" s="1"/>
  <c r="AG37" i="50" s="1"/>
  <c r="AH37" i="50" s="1"/>
  <c r="AI37" i="50" s="1"/>
  <c r="AJ37" i="50" s="1"/>
  <c r="AK37" i="50" s="1"/>
  <c r="AL37" i="50" s="1"/>
  <c r="AM37" i="50" s="1"/>
  <c r="D7" i="50" l="1"/>
  <c r="AO7" i="50"/>
  <c r="AN37" i="50"/>
  <c r="AN7" i="50"/>
  <c r="AP7" i="50"/>
  <c r="AO37" i="50" l="1"/>
  <c r="AQ7" i="50"/>
  <c r="AP37" i="50" l="1"/>
  <c r="AQ37" i="50" s="1"/>
  <c r="AR37" i="50" s="1"/>
  <c r="J16" i="50" l="1"/>
  <c r="H16" i="50"/>
  <c r="I16" i="50"/>
  <c r="K16" i="50"/>
  <c r="L16" i="50"/>
  <c r="N16" i="50"/>
  <c r="G16" i="50"/>
  <c r="M16" i="50"/>
  <c r="F16" i="50" l="1"/>
  <c r="I39" i="50"/>
  <c r="I45" i="50" s="1"/>
  <c r="H39" i="50"/>
  <c r="H45" i="50" s="1"/>
  <c r="L39" i="50"/>
  <c r="L45" i="50" s="1"/>
  <c r="M39" i="50"/>
  <c r="M45" i="50" s="1"/>
  <c r="K39" i="50"/>
  <c r="K45" i="50" s="1"/>
  <c r="F39" i="50" l="1"/>
  <c r="J39" i="50"/>
  <c r="J45" i="50" s="1"/>
  <c r="N39" i="50"/>
  <c r="N45" i="50" s="1"/>
  <c r="G39" i="50" l="1"/>
  <c r="G45" i="50" s="1"/>
  <c r="F40" i="50"/>
  <c r="F45" i="50"/>
  <c r="F46" i="50" s="1"/>
  <c r="G40" i="50" l="1"/>
  <c r="H40" i="50" s="1"/>
  <c r="I40" i="50" s="1"/>
  <c r="J40" i="50" s="1"/>
  <c r="K40" i="50" s="1"/>
  <c r="L40" i="50" s="1"/>
  <c r="M40" i="50" s="1"/>
  <c r="N40" i="50" s="1"/>
  <c r="G46" i="50"/>
  <c r="O16" i="50"/>
  <c r="H46" i="50" l="1"/>
  <c r="I46" i="50" l="1"/>
  <c r="J46" i="50" l="1"/>
  <c r="K46" i="50" l="1"/>
  <c r="O39" i="50"/>
  <c r="L46" i="50" l="1"/>
  <c r="O45" i="50"/>
  <c r="O40" i="50"/>
  <c r="P16" i="50"/>
  <c r="M46" i="50" l="1"/>
  <c r="N46" i="50" l="1"/>
  <c r="O46" i="50" l="1"/>
  <c r="P39" i="50" l="1"/>
  <c r="Q16" i="50"/>
  <c r="AU16" i="50"/>
  <c r="AS16" i="50"/>
  <c r="AT16" i="50"/>
  <c r="P45" i="50" l="1"/>
  <c r="P46" i="50" s="1"/>
  <c r="P40" i="50"/>
  <c r="Q39" i="50" l="1"/>
  <c r="R16" i="50"/>
  <c r="Q45" i="50" l="1"/>
  <c r="Q46" i="50" s="1"/>
  <c r="Q40" i="50"/>
  <c r="R39" i="50" l="1"/>
  <c r="S16" i="50"/>
  <c r="R45" i="50" l="1"/>
  <c r="R46" i="50" s="1"/>
  <c r="R40" i="50"/>
  <c r="S39" i="50" l="1"/>
  <c r="T16" i="50"/>
  <c r="S45" i="50" l="1"/>
  <c r="S46" i="50" s="1"/>
  <c r="S40" i="50"/>
  <c r="T39" i="50" l="1"/>
  <c r="T45" i="50" s="1"/>
  <c r="T46" i="50" s="1"/>
  <c r="U16" i="50"/>
  <c r="T40" i="50" l="1"/>
  <c r="V16" i="50" l="1"/>
  <c r="U39" i="50"/>
  <c r="U45" i="50" l="1"/>
  <c r="U46" i="50" s="1"/>
  <c r="U40" i="50"/>
  <c r="W16" i="50" l="1"/>
  <c r="V39" i="50"/>
  <c r="V45" i="50" l="1"/>
  <c r="V46" i="50" s="1"/>
  <c r="V40" i="50"/>
  <c r="W39" i="50" l="1"/>
  <c r="X16" i="50"/>
  <c r="W45" i="50" l="1"/>
  <c r="W46" i="50" s="1"/>
  <c r="W40" i="50"/>
  <c r="X39" i="50" l="1"/>
  <c r="Y16" i="50"/>
  <c r="X40" i="50" l="1"/>
  <c r="X45" i="50"/>
  <c r="X46" i="50" s="1"/>
  <c r="Y39" i="50" l="1"/>
  <c r="Z16" i="50"/>
  <c r="Y45" i="50" l="1"/>
  <c r="Y46" i="50" s="1"/>
  <c r="Y40" i="50"/>
  <c r="Z39" i="50" l="1"/>
  <c r="Z40" i="50" l="1"/>
  <c r="Z45" i="50"/>
  <c r="Z46" i="50" s="1"/>
  <c r="AA16" i="50"/>
  <c r="AB16" i="50" l="1"/>
  <c r="AA39" i="50"/>
  <c r="AA45" i="50" l="1"/>
  <c r="AA46" i="50" s="1"/>
  <c r="AA40" i="50"/>
  <c r="AC16" i="50" l="1"/>
  <c r="AB39" i="50"/>
  <c r="AB45" i="50" l="1"/>
  <c r="AB46" i="50" s="1"/>
  <c r="AB40" i="50"/>
  <c r="AC39" i="50" l="1"/>
  <c r="AD16" i="50"/>
  <c r="AC45" i="50" l="1"/>
  <c r="AC46" i="50" s="1"/>
  <c r="AC40" i="50"/>
  <c r="AE16" i="50" l="1"/>
  <c r="AD39" i="50"/>
  <c r="AD45" i="50" l="1"/>
  <c r="AD46" i="50" s="1"/>
  <c r="AD40" i="50"/>
  <c r="AF16" i="50" l="1"/>
  <c r="AE39" i="50"/>
  <c r="AE45" i="50" l="1"/>
  <c r="AE46" i="50" s="1"/>
  <c r="AE40" i="50"/>
  <c r="AF39" i="50" l="1"/>
  <c r="AG16" i="50"/>
  <c r="AF45" i="50" l="1"/>
  <c r="AF46" i="50" s="1"/>
  <c r="AF40" i="50"/>
  <c r="AG39" i="50" l="1"/>
  <c r="AH16" i="50"/>
  <c r="AG45" i="50" l="1"/>
  <c r="AG46" i="50" s="1"/>
  <c r="AG40" i="50"/>
  <c r="AH39" i="50" l="1"/>
  <c r="AI16" i="50"/>
  <c r="AH45" i="50" l="1"/>
  <c r="AH46" i="50" s="1"/>
  <c r="AH40" i="50"/>
  <c r="AI39" i="50" l="1"/>
  <c r="AJ16" i="50"/>
  <c r="AI45" i="50" l="1"/>
  <c r="AI46" i="50" s="1"/>
  <c r="AI40" i="50"/>
  <c r="AJ39" i="50" l="1"/>
  <c r="AK16" i="50"/>
  <c r="AJ45" i="50" l="1"/>
  <c r="AJ46" i="50" s="1"/>
  <c r="AJ40" i="50"/>
  <c r="AL16" i="50" l="1"/>
  <c r="AK39" i="50"/>
  <c r="AK45" i="50" l="1"/>
  <c r="AK46" i="50" s="1"/>
  <c r="AK40" i="50"/>
  <c r="AM16" i="50" l="1"/>
  <c r="AL39" i="50"/>
  <c r="AL45" i="50" l="1"/>
  <c r="AL46" i="50" s="1"/>
  <c r="AL40" i="50"/>
  <c r="AN16" i="50" l="1"/>
  <c r="AM39" i="50" l="1"/>
  <c r="AM45" i="50" l="1"/>
  <c r="AM46" i="50" s="1"/>
  <c r="AM40" i="50"/>
  <c r="AO16" i="50" l="1"/>
  <c r="AN39" i="50" l="1"/>
  <c r="AN45" i="50" s="1"/>
  <c r="AN46" i="50" s="1"/>
  <c r="AN40" i="50" l="1"/>
  <c r="AP16" i="50" l="1"/>
  <c r="AO39" i="50"/>
  <c r="AO45" i="50" l="1"/>
  <c r="AO46" i="50" s="1"/>
  <c r="AO40" i="50"/>
  <c r="AT39" i="50" l="1"/>
  <c r="AT45" i="50" s="1"/>
  <c r="AP39" i="50" l="1"/>
  <c r="AP45" i="50" s="1"/>
  <c r="AP46" i="50" s="1"/>
  <c r="AR16" i="50"/>
  <c r="AP40" i="50" l="1"/>
  <c r="AQ16" i="50" l="1"/>
  <c r="AS39" i="50" l="1"/>
  <c r="AS45" i="50" s="1"/>
  <c r="AU39" i="50" l="1"/>
  <c r="AU45" i="50" s="1"/>
  <c r="AQ39" i="50" l="1"/>
  <c r="AQ40" i="50" s="1"/>
  <c r="D16" i="50"/>
  <c r="D48" i="50" s="1"/>
  <c r="AR39" i="50"/>
  <c r="AR45" i="50" s="1"/>
  <c r="AQ45" i="50" l="1"/>
  <c r="AQ46" i="50" s="1"/>
  <c r="AR46" i="50" s="1"/>
  <c r="AR40" i="50"/>
  <c r="AS40" i="50" s="1"/>
  <c r="AT40" i="50" s="1"/>
  <c r="AU40" i="50" s="1"/>
  <c r="G14" i="11"/>
  <c r="H39" i="11" l="1"/>
  <c r="H41" i="11" s="1"/>
  <c r="H50" i="11" s="1"/>
  <c r="AS46" i="50"/>
  <c r="AT46" i="50" l="1"/>
  <c r="AU46" i="50" l="1"/>
  <c r="H42" i="11" l="1"/>
  <c r="H51" i="11"/>
  <c r="H45" i="11"/>
</calcChain>
</file>

<file path=xl/sharedStrings.xml><?xml version="1.0" encoding="utf-8"?>
<sst xmlns="http://schemas.openxmlformats.org/spreadsheetml/2006/main" count="212" uniqueCount="147">
  <si>
    <t>IMPORTES</t>
  </si>
  <si>
    <t>GASTOS</t>
  </si>
  <si>
    <t>01 TERRENOS Y SOLARES</t>
  </si>
  <si>
    <t>02 CONSTRUCCIÓN</t>
  </si>
  <si>
    <t>02.01 URBANIZACIÓN</t>
  </si>
  <si>
    <t>02.02 EDIFICACION</t>
  </si>
  <si>
    <t>03 HONORARIOS PROFESIONALES</t>
  </si>
  <si>
    <t>04 TASAS/LICENCIAS/TRIBUTOS</t>
  </si>
  <si>
    <t>05 COSTES FINANCIEROS</t>
  </si>
  <si>
    <t>05.03 EDIFICIO: PRÉSTAMO HIPOTECARIO</t>
  </si>
  <si>
    <t>05.05 AVALES PROMOCIÓN</t>
  </si>
  <si>
    <t>06 PUBLICIDAD Y COMERCIALIZACIÓN</t>
  </si>
  <si>
    <t>06.01 PUBLICIDAD</t>
  </si>
  <si>
    <t>06.02 COMERCIALIZACIÓN</t>
  </si>
  <si>
    <t>07 FORMALIZACIÓN DE DOCUMENTOS</t>
  </si>
  <si>
    <t>08 GESTIÓN</t>
  </si>
  <si>
    <t>09 SEGUROS</t>
  </si>
  <si>
    <t>INGRESOS</t>
  </si>
  <si>
    <t>01 VENTAS.</t>
  </si>
  <si>
    <t>RESULTADO</t>
  </si>
  <si>
    <t>%s/ ingresos</t>
  </si>
  <si>
    <t>Gestion</t>
  </si>
  <si>
    <t>10 GASTOS VARIOS E IMPREVISTOS</t>
  </si>
  <si>
    <t>PRESTAMO PROMOTOR</t>
  </si>
  <si>
    <t>PAGOS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</si>
  <si>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</si>
  <si>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</si>
  <si>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</si>
  <si>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</si>
  <si>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</si>
  <si>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</si>
  <si>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</si>
  <si>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</si>
  <si>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</si>
  <si>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</si>
  <si>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</si>
  <si>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</si>
  <si>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</si>
  <si>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</si>
  <si>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</si>
  <si>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</si>
  <si>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</si>
  <si>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</si>
  <si>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</si>
  <si>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</si>
  <si>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</si>
  <si>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</si>
  <si>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</si>
  <si>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</si>
  <si>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</si>
  <si>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</si>
  <si>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</si>
  <si>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</si>
  <si>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</si>
  <si>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</si>
  <si>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</si>
  <si>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</si>
  <si>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</si>
  <si>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</si>
  <si>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</si>
  <si>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</si>
  <si>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</si>
  <si>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</si>
  <si>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</si>
  <si>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</si>
  <si>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</si>
  <si>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</si>
  <si>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</si>
  <si>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</si>
  <si>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</si>
  <si>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</si>
  <si>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</si>
  <si>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</si>
  <si>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</si>
  <si>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</si>
  <si>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</si>
  <si>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</si>
  <si>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</si>
  <si>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</si>
  <si>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</si>
  <si>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</si>
  <si>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</si>
  <si>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</si>
  <si>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</si>
  <si>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</si>
  <si>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</si>
  <si>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</si>
  <si>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</si>
  <si>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</si>
  <si>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</si>
  <si>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</si>
  <si>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</si>
  <si>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</si>
  <si>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</si>
  <si>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</si>
  <si>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</si>
  <si>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</si>
  <si>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</si>
  <si>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</si>
  <si>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</si>
  <si>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</si>
  <si>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Reserva</t>
  </si>
  <si>
    <t>10.01 VARIOS E IMPREVISTOS: Cobertura de riesgos adicionales</t>
  </si>
  <si>
    <t>Totales</t>
  </si>
  <si>
    <t>Disposiciones</t>
  </si>
  <si>
    <t>Aplazado</t>
  </si>
  <si>
    <t>Entrega de llaves</t>
  </si>
  <si>
    <t>TASA DE GRUPO</t>
  </si>
  <si>
    <t>RESULTADO TRAS TASA  DE GRUPO</t>
  </si>
  <si>
    <t>05.02 PRÉSTAMO EQUITY GRUPO</t>
  </si>
  <si>
    <t>Equity Total</t>
  </si>
  <si>
    <t>Beneficio Total (Yield)</t>
  </si>
  <si>
    <t>Beneficio Anual (Yield anual)</t>
  </si>
  <si>
    <t>Duración meses</t>
  </si>
  <si>
    <t>TIR Bruta</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</si>
  <si>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</si>
  <si>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</si>
  <si>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</si>
  <si>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</si>
  <si>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</si>
  <si>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</si>
  <si>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</si>
  <si>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</si>
  <si>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</si>
  <si>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</si>
  <si>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</si>
  <si>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</si>
  <si>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</si>
  <si>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</si>
  <si>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</si>
  <si>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</si>
  <si>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</si>
  <si>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</si>
  <si>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</si>
  <si>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</si>
  <si>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</si>
  <si>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</si>
  <si>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</si>
  <si>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</si>
  <si>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</si>
  <si>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CUENTA DE TESORERIA PARCELA BPM-15 DOS HERMANAS (SEVILLA)</t>
  </si>
  <si>
    <t>Equity Socio (50%)</t>
  </si>
  <si>
    <t>Cuenta de Resultado</t>
  </si>
  <si>
    <t>50% viviendas a  2.075 €/m2u</t>
  </si>
  <si>
    <t>25% viviendas a  2.150 €/m2u</t>
  </si>
  <si>
    <t>25% viviendas a  2.225 €/m2u</t>
  </si>
  <si>
    <t>B.- Incrementos de los Precios: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</si>
</sst>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Red]\-#,##0.00\ &quot;€&quot;"/>
    <numFmt numFmtId="44" formatCode="_-* #,##0.00\ &quot;€&quot;_-;\-* #,##0.00\ &quot;€&quot;_-;_-* &quot;-&quot;??\ &quot;€&quot;_-;_-@_-"/>
    <numFmt numFmtId="164" formatCode="_-* #,##0.00\ _€_-;\-* #,##0.00\ _€_-;_-* &quot;-&quot;??\ _€_-;_-@_-"/>
    <numFmt numFmtId="168" formatCode="0.0%"/>
    <numFmt numFmtId="171" formatCode="_-* #,##0.00\ [$€-1]_-;\-* #,##0.00\ [$€-1]_-;_-* &quot;-&quot;??\ [$€-1]_-"/>
    <numFmt numFmtId="172" formatCode="#,##0.00\ [$€-1]"/>
    <numFmt numFmtId="173" formatCode="[$-C0A]mmm\-yy;@"/>
    <numFmt numFmtId="174" formatCode="#,##0\ &quot;€&quot;"/>
    <numFmt numFmtId="193" formatCode="#,##0\ &quot;años&quot;"/>
    <numFmt numFmtId="201" formatCode="_-* #,##0.00\ [$€]_-;\-* #,##0.00\ [$€]_-;_-* &quot;-&quot;??\ [$€]_-;_-@_-"/>
    <numFmt numFmtId="203" formatCode="#,##0.00000\ &quot;€&quot;;[Red]\-#,##0.00000\ &quot;€&quot;"/>
  </numFmts>
  <fonts count="25"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sz val="9"/>
      <name val="Arial"/>
      <family val="2"/>
    </font>
    <font>
      <sz val="9"/>
      <name val="Trebuchet MS"/>
      <family val="2"/>
    </font>
    <font>
      <i/>
      <sz val="8"/>
      <name val="Trebuchet MS"/>
      <family val="2"/>
    </font>
    <font>
      <b/>
      <i/>
      <u/>
      <sz val="20"/>
      <name val="Trebuchet MS"/>
      <family val="2"/>
    </font>
    <font>
      <b/>
      <i/>
      <u/>
      <sz val="15"/>
      <name val="Trebuchet MS"/>
      <family val="2"/>
    </font>
    <font>
      <sz val="9"/>
      <color theme="0"/>
      <name val="Trebuchet MS"/>
      <family val="2"/>
    </font>
    <font>
      <b/>
      <sz val="14"/>
      <name val="Trebuchet MS"/>
      <family val="2"/>
    </font>
    <font>
      <sz val="10"/>
      <color rgb="FF002060"/>
      <name val="Trebuchet MS"/>
      <family val="2"/>
    </font>
    <font>
      <b/>
      <sz val="10"/>
      <color rgb="FF002060"/>
      <name val="Trebuchet MS"/>
      <family val="2"/>
    </font>
    <font>
      <b/>
      <u/>
      <sz val="10"/>
      <color rgb="FF002060"/>
      <name val="Trebuchet MS"/>
      <family val="2"/>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46">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theme="0" tint="-0.34998626667073579"/>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s>
  <cellStyleXfs count="458">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72" fontId="11" fillId="0" borderId="0"/>
    <xf numFmtId="44"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191">
    <xf numFmtId="0" fontId="0" fillId="0" borderId="0" xfId="0"/>
    <xf numFmtId="4" fontId="2" fillId="0" borderId="0" xfId="0" applyNumberFormat="1" applyFont="1" applyAlignment="1">
      <alignment vertical="center"/>
    </xf>
    <xf numFmtId="4" fontId="2" fillId="0" borderId="0" xfId="0" applyNumberFormat="1" applyFont="1" applyAlignment="1">
      <alignment horizontal="lef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0" fillId="0" borderId="15" xfId="0" applyBorder="1" applyAlignment="1">
      <alignment horizontal="center"/>
    </xf>
    <xf numFmtId="8" fontId="6" fillId="0" borderId="8" xfId="0" applyNumberFormat="1" applyFont="1" applyBorder="1" applyAlignment="1">
      <alignment horizontal="right" wrapText="1"/>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4" xfId="0" applyNumberFormat="1" applyFont="1" applyBorder="1" applyAlignment="1">
      <alignment horizontal="right" wrapText="1"/>
    </xf>
    <xf numFmtId="8" fontId="6" fillId="0" borderId="0" xfId="0" applyNumberFormat="1" applyFont="1" applyAlignment="1">
      <alignment horizontal="right" wrapText="1"/>
    </xf>
    <xf numFmtId="8" fontId="6" fillId="0" borderId="16"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0" fontId="6" fillId="0" borderId="8" xfId="0" applyFont="1" applyBorder="1"/>
    <xf numFmtId="0" fontId="0" fillId="0" borderId="10" xfId="0" applyBorder="1"/>
    <xf numFmtId="0" fontId="0" fillId="0" borderId="14" xfId="0" applyBorder="1"/>
    <xf numFmtId="0" fontId="0" fillId="0" borderId="16" xfId="0" applyBorder="1"/>
    <xf numFmtId="0" fontId="0" fillId="0" borderId="11" xfId="0" applyBorder="1"/>
    <xf numFmtId="0" fontId="0" fillId="0" borderId="13" xfId="0" applyBorder="1"/>
    <xf numFmtId="0" fontId="6" fillId="0" borderId="4" xfId="0" applyFont="1" applyBorder="1"/>
    <xf numFmtId="0" fontId="0" fillId="0" borderId="6" xfId="0" applyBorder="1"/>
    <xf numFmtId="0" fontId="0" fillId="0" borderId="9" xfId="0" applyBorder="1"/>
    <xf numFmtId="0" fontId="6" fillId="0" borderId="14" xfId="0" applyFont="1" applyBorder="1"/>
    <xf numFmtId="0" fontId="6" fillId="0" borderId="11" xfId="0" applyFont="1" applyBorder="1"/>
    <xf numFmtId="0" fontId="0" fillId="0" borderId="12" xfId="0" applyBorder="1"/>
    <xf numFmtId="203" fontId="0" fillId="0" borderId="0" xfId="0" applyNumberFormat="1"/>
    <xf numFmtId="0" fontId="6" fillId="0" borderId="10" xfId="0" applyFont="1" applyBorder="1"/>
    <xf numFmtId="0" fontId="6" fillId="0" borderId="13" xfId="0" applyFont="1" applyBorder="1"/>
    <xf numFmtId="0" fontId="6" fillId="0" borderId="16" xfId="0" applyFont="1" applyBorder="1"/>
    <xf numFmtId="0" fontId="6" fillId="0" borderId="8" xfId="0" applyFont="1" applyBorder="1" applyAlignment="1">
      <alignment horizontal="left" wrapText="1"/>
    </xf>
    <xf numFmtId="0" fontId="6" fillId="0" borderId="14" xfId="0" applyFont="1" applyBorder="1" applyAlignment="1">
      <alignment horizontal="left" wrapText="1"/>
    </xf>
    <xf numFmtId="0" fontId="6" fillId="0" borderId="11" xfId="0" applyFont="1" applyBorder="1" applyAlignment="1">
      <alignment horizontal="left" wrapText="1"/>
    </xf>
    <xf numFmtId="8" fontId="6" fillId="0" borderId="4" xfId="0" applyNumberFormat="1" applyFont="1" applyBorder="1" applyAlignment="1">
      <alignment horizontal="righ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0" fontId="0" fillId="0" borderId="7" xfId="0" applyBorder="1"/>
    <xf numFmtId="4" fontId="12" fillId="0" borderId="0" xfId="0" applyNumberFormat="1" applyFont="1"/>
    <xf numFmtId="4" fontId="13" fillId="0" borderId="0" xfId="0" applyNumberFormat="1" applyFont="1" applyAlignment="1">
      <alignment vertical="center"/>
    </xf>
    <xf numFmtId="4" fontId="14" fillId="0" borderId="0" xfId="0" applyNumberFormat="1" applyFont="1" applyAlignment="1">
      <alignment vertical="center"/>
    </xf>
    <xf numFmtId="4" fontId="15" fillId="0" borderId="0" xfId="0" applyNumberFormat="1" applyFont="1"/>
    <xf numFmtId="4" fontId="16" fillId="0" borderId="0" xfId="0" applyNumberFormat="1" applyFont="1" applyAlignment="1">
      <alignment vertical="center"/>
    </xf>
    <xf numFmtId="4" fontId="16" fillId="0" borderId="17" xfId="0" applyNumberFormat="1" applyFont="1" applyBorder="1" applyAlignment="1">
      <alignment vertical="center"/>
    </xf>
    <xf numFmtId="10" fontId="13" fillId="0" borderId="0" xfId="1" applyNumberFormat="1" applyFont="1" applyAlignment="1">
      <alignment vertical="center"/>
    </xf>
    <xf numFmtId="9" fontId="13" fillId="0" borderId="0" xfId="1" applyFont="1" applyAlignment="1">
      <alignment vertical="center"/>
    </xf>
    <xf numFmtId="3" fontId="13" fillId="0" borderId="0" xfId="0" applyNumberFormat="1" applyFont="1" applyAlignment="1">
      <alignment vertical="center"/>
    </xf>
    <xf numFmtId="4" fontId="17" fillId="0" borderId="0" xfId="448" applyNumberFormat="1" applyFont="1" applyAlignment="1">
      <alignment horizontal="right" vertical="center"/>
    </xf>
    <xf numFmtId="4" fontId="16" fillId="0" borderId="20" xfId="0" applyNumberFormat="1" applyFont="1" applyBorder="1" applyAlignment="1">
      <alignment vertical="center"/>
    </xf>
    <xf numFmtId="9" fontId="16" fillId="0" borderId="17" xfId="1" applyFont="1" applyFill="1" applyBorder="1" applyAlignment="1">
      <alignment vertical="center"/>
    </xf>
    <xf numFmtId="4" fontId="3" fillId="2" borderId="0" xfId="0" applyNumberFormat="1" applyFont="1" applyFill="1" applyAlignment="1">
      <alignment vertical="center"/>
    </xf>
    <xf numFmtId="4" fontId="10" fillId="2" borderId="12" xfId="0" applyNumberFormat="1" applyFont="1" applyFill="1" applyBorder="1" applyAlignment="1">
      <alignment horizontal="left" vertical="center"/>
    </xf>
    <xf numFmtId="3" fontId="10" fillId="0" borderId="12" xfId="0" applyNumberFormat="1" applyFont="1" applyBorder="1" applyAlignment="1">
      <alignment vertical="center"/>
    </xf>
    <xf numFmtId="4" fontId="10" fillId="0" borderId="12" xfId="0" applyNumberFormat="1" applyFont="1" applyBorder="1" applyAlignment="1">
      <alignment vertical="center"/>
    </xf>
    <xf numFmtId="4" fontId="10" fillId="0" borderId="17" xfId="0" applyNumberFormat="1" applyFont="1" applyBorder="1" applyAlignment="1">
      <alignment horizontal="left" vertical="center"/>
    </xf>
    <xf numFmtId="3" fontId="10" fillId="0" borderId="17" xfId="0" applyNumberFormat="1" applyFont="1" applyBorder="1" applyAlignment="1">
      <alignment vertical="center"/>
    </xf>
    <xf numFmtId="2" fontId="16" fillId="0" borderId="17" xfId="0" applyNumberFormat="1" applyFont="1" applyBorder="1" applyAlignment="1">
      <alignment vertical="center"/>
    </xf>
    <xf numFmtId="4" fontId="3" fillId="0" borderId="0" xfId="0" applyNumberFormat="1" applyFont="1" applyAlignment="1">
      <alignment horizontal="left" vertical="center"/>
    </xf>
    <xf numFmtId="3" fontId="3" fillId="0" borderId="0" xfId="0" applyNumberFormat="1" applyFont="1" applyAlignment="1">
      <alignment vertical="center"/>
    </xf>
    <xf numFmtId="3" fontId="2" fillId="0" borderId="0" xfId="0" applyNumberFormat="1" applyFont="1" applyAlignment="1">
      <alignment vertical="center"/>
    </xf>
    <xf numFmtId="4" fontId="2" fillId="0" borderId="0" xfId="448" applyNumberFormat="1" applyFont="1" applyAlignment="1">
      <alignment horizontal="right" vertical="center"/>
    </xf>
    <xf numFmtId="9" fontId="2" fillId="0" borderId="0" xfId="1" applyFont="1" applyFill="1" applyBorder="1" applyAlignment="1">
      <alignment vertical="center"/>
    </xf>
    <xf numFmtId="4" fontId="10" fillId="0" borderId="17" xfId="0" applyNumberFormat="1" applyFont="1" applyBorder="1" applyAlignment="1">
      <alignment vertical="center"/>
    </xf>
    <xf numFmtId="4" fontId="3" fillId="0" borderId="0" xfId="0" applyNumberFormat="1" applyFont="1" applyAlignment="1">
      <alignment vertical="center"/>
    </xf>
    <xf numFmtId="4" fontId="2" fillId="0" borderId="0" xfId="0" applyNumberFormat="1" applyFont="1" applyAlignment="1">
      <alignment horizontal="right" vertical="center"/>
    </xf>
    <xf numFmtId="4" fontId="2" fillId="0" borderId="0" xfId="1" applyNumberFormat="1" applyFont="1" applyFill="1" applyBorder="1" applyAlignment="1">
      <alignment vertical="center"/>
    </xf>
    <xf numFmtId="3" fontId="10" fillId="8" borderId="17" xfId="0" applyNumberFormat="1" applyFont="1" applyFill="1" applyBorder="1" applyAlignment="1">
      <alignment vertical="center"/>
    </xf>
    <xf numFmtId="3" fontId="10" fillId="2" borderId="12" xfId="0" applyNumberFormat="1" applyFont="1" applyFill="1" applyBorder="1" applyAlignment="1">
      <alignment vertical="center"/>
    </xf>
    <xf numFmtId="4" fontId="10" fillId="2" borderId="12" xfId="0" applyNumberFormat="1" applyFont="1" applyFill="1" applyBorder="1" applyAlignment="1">
      <alignment vertical="center" wrapText="1"/>
    </xf>
    <xf numFmtId="4" fontId="10" fillId="0" borderId="20" xfId="0" applyNumberFormat="1" applyFont="1" applyBorder="1" applyAlignment="1">
      <alignment horizontal="left" vertical="center"/>
    </xf>
    <xf numFmtId="3" fontId="10" fillId="0" borderId="20" xfId="0" applyNumberFormat="1" applyFont="1" applyBorder="1" applyAlignment="1">
      <alignment vertical="center"/>
    </xf>
    <xf numFmtId="4" fontId="3" fillId="0" borderId="0" xfId="0" applyNumberFormat="1" applyFont="1" applyAlignment="1">
      <alignment horizontal="center" vertical="center"/>
    </xf>
    <xf numFmtId="4" fontId="3" fillId="5" borderId="8" xfId="0" applyNumberFormat="1" applyFont="1" applyFill="1" applyBorder="1" applyAlignment="1">
      <alignment vertical="center"/>
    </xf>
    <xf numFmtId="4" fontId="2" fillId="5" borderId="9" xfId="0" applyNumberFormat="1" applyFont="1" applyFill="1" applyBorder="1" applyAlignment="1">
      <alignment vertical="center"/>
    </xf>
    <xf numFmtId="3" fontId="3" fillId="5" borderId="10" xfId="0" applyNumberFormat="1" applyFont="1" applyFill="1" applyBorder="1" applyAlignment="1">
      <alignment vertical="center"/>
    </xf>
    <xf numFmtId="3" fontId="2" fillId="0" borderId="0" xfId="0" applyNumberFormat="1" applyFont="1" applyAlignment="1">
      <alignment horizontal="center" vertical="center"/>
    </xf>
    <xf numFmtId="4" fontId="3" fillId="7" borderId="14" xfId="0" applyNumberFormat="1" applyFont="1" applyFill="1" applyBorder="1" applyAlignment="1">
      <alignment vertical="center"/>
    </xf>
    <xf numFmtId="4" fontId="2" fillId="7" borderId="0" xfId="0" applyNumberFormat="1" applyFont="1" applyFill="1" applyAlignment="1">
      <alignment vertical="center"/>
    </xf>
    <xf numFmtId="3" fontId="3" fillId="7" borderId="16" xfId="0" applyNumberFormat="1" applyFont="1" applyFill="1" applyBorder="1" applyAlignment="1">
      <alignment vertical="center"/>
    </xf>
    <xf numFmtId="4" fontId="9" fillId="6" borderId="11" xfId="0" applyNumberFormat="1" applyFont="1" applyFill="1" applyBorder="1" applyAlignment="1">
      <alignment vertical="center"/>
    </xf>
    <xf numFmtId="4" fontId="7" fillId="6" borderId="12" xfId="0" applyNumberFormat="1" applyFont="1" applyFill="1" applyBorder="1" applyAlignment="1">
      <alignment vertical="center"/>
    </xf>
    <xf numFmtId="3" fontId="9" fillId="6" borderId="13" xfId="0" applyNumberFormat="1" applyFont="1" applyFill="1" applyBorder="1" applyAlignment="1">
      <alignment vertical="center"/>
    </xf>
    <xf numFmtId="4" fontId="2" fillId="8" borderId="0" xfId="0" applyNumberFormat="1" applyFont="1" applyFill="1" applyAlignment="1">
      <alignment vertical="center"/>
    </xf>
    <xf numFmtId="4" fontId="13" fillId="8" borderId="0" xfId="0" applyNumberFormat="1" applyFont="1" applyFill="1" applyAlignment="1">
      <alignment vertical="center"/>
    </xf>
    <xf numFmtId="9" fontId="2" fillId="8" borderId="0" xfId="1" applyFont="1" applyFill="1" applyBorder="1" applyAlignment="1">
      <alignment vertical="center"/>
    </xf>
    <xf numFmtId="3" fontId="10" fillId="8" borderId="0" xfId="0" applyNumberFormat="1" applyFont="1" applyFill="1" applyAlignment="1">
      <alignment vertical="center"/>
    </xf>
    <xf numFmtId="4" fontId="16" fillId="8" borderId="0" xfId="0" applyNumberFormat="1" applyFont="1" applyFill="1" applyAlignment="1">
      <alignment vertical="center"/>
    </xf>
    <xf numFmtId="4" fontId="9" fillId="6" borderId="0" xfId="0" applyNumberFormat="1" applyFont="1" applyFill="1" applyAlignment="1">
      <alignment vertical="center"/>
    </xf>
    <xf numFmtId="4" fontId="7" fillId="6" borderId="0" xfId="0" applyNumberFormat="1" applyFont="1" applyFill="1" applyAlignment="1">
      <alignment vertical="center"/>
    </xf>
    <xf numFmtId="3" fontId="9" fillId="6" borderId="0" xfId="0" applyNumberFormat="1" applyFont="1" applyFill="1" applyAlignment="1">
      <alignment vertical="center"/>
    </xf>
    <xf numFmtId="9" fontId="7" fillId="6" borderId="0" xfId="1" applyFont="1" applyFill="1" applyBorder="1" applyAlignment="1">
      <alignment vertical="center"/>
    </xf>
    <xf numFmtId="3" fontId="13" fillId="0" borderId="0" xfId="0" applyNumberFormat="1" applyFont="1" applyAlignment="1">
      <alignment horizontal="right" vertical="center"/>
    </xf>
    <xf numFmtId="0" fontId="16" fillId="0" borderId="0" xfId="0" applyFont="1"/>
    <xf numFmtId="0" fontId="18" fillId="0" borderId="0" xfId="0" applyFont="1"/>
    <xf numFmtId="9" fontId="19" fillId="0" borderId="0" xfId="0" applyNumberFormat="1" applyFont="1"/>
    <xf numFmtId="0" fontId="19" fillId="0" borderId="0" xfId="0" applyFont="1"/>
    <xf numFmtId="173" fontId="10" fillId="2" borderId="7" xfId="0" applyNumberFormat="1" applyFont="1" applyFill="1" applyBorder="1" applyAlignment="1">
      <alignment horizontal="center" vertical="center" wrapText="1"/>
    </xf>
    <xf numFmtId="173" fontId="10" fillId="0" borderId="0" xfId="0" applyNumberFormat="1" applyFont="1" applyAlignment="1">
      <alignment horizontal="center" vertical="center" wrapText="1"/>
    </xf>
    <xf numFmtId="0" fontId="16" fillId="2" borderId="4" xfId="0" applyFont="1" applyFill="1" applyBorder="1"/>
    <xf numFmtId="0" fontId="16" fillId="2" borderId="6" xfId="0" applyFont="1" applyFill="1" applyBorder="1"/>
    <xf numFmtId="3" fontId="10" fillId="2" borderId="7"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6" xfId="0" applyNumberFormat="1" applyFont="1" applyFill="1" applyBorder="1" applyAlignment="1">
      <alignment horizontal="right" vertical="center" wrapText="1"/>
    </xf>
    <xf numFmtId="0" fontId="16" fillId="0" borderId="28" xfId="0" applyFont="1" applyBorder="1"/>
    <xf numFmtId="0" fontId="16" fillId="0" borderId="29" xfId="0" applyFont="1" applyBorder="1"/>
    <xf numFmtId="3" fontId="16" fillId="0" borderId="30" xfId="0" applyNumberFormat="1" applyFont="1" applyBorder="1"/>
    <xf numFmtId="3" fontId="16" fillId="0" borderId="0" xfId="0" applyNumberFormat="1" applyFont="1"/>
    <xf numFmtId="3" fontId="16" fillId="0" borderId="31" xfId="0" applyNumberFormat="1" applyFont="1" applyBorder="1"/>
    <xf numFmtId="3" fontId="16" fillId="0" borderId="32" xfId="0" applyNumberFormat="1" applyFont="1" applyBorder="1"/>
    <xf numFmtId="3" fontId="16" fillId="0" borderId="33" xfId="0" applyNumberFormat="1" applyFont="1" applyBorder="1"/>
    <xf numFmtId="0" fontId="16" fillId="0" borderId="27" xfId="0" applyFont="1" applyBorder="1"/>
    <xf numFmtId="0" fontId="16" fillId="0" borderId="22" xfId="0" applyFont="1" applyBorder="1"/>
    <xf numFmtId="3" fontId="16" fillId="0" borderId="34" xfId="0" applyNumberFormat="1" applyFont="1" applyBorder="1"/>
    <xf numFmtId="3" fontId="16" fillId="0" borderId="35" xfId="0" applyNumberFormat="1" applyFont="1" applyBorder="1"/>
    <xf numFmtId="3" fontId="16" fillId="0" borderId="1" xfId="0" applyNumberFormat="1" applyFont="1" applyBorder="1"/>
    <xf numFmtId="3" fontId="16" fillId="0" borderId="36" xfId="0" applyNumberFormat="1" applyFont="1" applyBorder="1"/>
    <xf numFmtId="0" fontId="16" fillId="0" borderId="23" xfId="0" applyFont="1" applyBorder="1"/>
    <xf numFmtId="0" fontId="16" fillId="0" borderId="24" xfId="0" applyFont="1" applyBorder="1"/>
    <xf numFmtId="3" fontId="16" fillId="0" borderId="37" xfId="0" applyNumberFormat="1" applyFont="1" applyBorder="1"/>
    <xf numFmtId="3" fontId="16" fillId="0" borderId="38" xfId="0" applyNumberFormat="1" applyFont="1" applyBorder="1"/>
    <xf numFmtId="3" fontId="16" fillId="0" borderId="39" xfId="0" applyNumberFormat="1" applyFont="1" applyBorder="1"/>
    <xf numFmtId="3" fontId="16" fillId="0" borderId="40" xfId="0" applyNumberFormat="1" applyFont="1" applyBorder="1"/>
    <xf numFmtId="0" fontId="16" fillId="2" borderId="41" xfId="0" applyFont="1" applyFill="1" applyBorder="1"/>
    <xf numFmtId="0" fontId="16" fillId="2" borderId="42" xfId="0" applyFont="1" applyFill="1" applyBorder="1"/>
    <xf numFmtId="3" fontId="10" fillId="2" borderId="43" xfId="0" applyNumberFormat="1" applyFont="1" applyFill="1" applyBorder="1" applyAlignment="1">
      <alignment horizontal="right" vertical="center" wrapText="1"/>
    </xf>
    <xf numFmtId="0" fontId="16" fillId="0" borderId="21" xfId="0" applyFont="1" applyBorder="1"/>
    <xf numFmtId="0" fontId="16" fillId="0" borderId="18" xfId="0" applyFont="1" applyBorder="1"/>
    <xf numFmtId="3" fontId="16" fillId="0" borderId="44" xfId="0" applyNumberFormat="1" applyFont="1" applyBorder="1"/>
    <xf numFmtId="0" fontId="16" fillId="0" borderId="19" xfId="0" applyFont="1" applyBorder="1"/>
    <xf numFmtId="4" fontId="16" fillId="0" borderId="25" xfId="0" applyNumberFormat="1" applyFont="1" applyBorder="1"/>
    <xf numFmtId="4" fontId="16" fillId="0" borderId="0" xfId="0" applyNumberFormat="1" applyFont="1"/>
    <xf numFmtId="0" fontId="16" fillId="0" borderId="31" xfId="0" applyFont="1" applyBorder="1"/>
    <xf numFmtId="0" fontId="16" fillId="0" borderId="32" xfId="0" applyFont="1" applyBorder="1"/>
    <xf numFmtId="0" fontId="16" fillId="0" borderId="16" xfId="0" applyFont="1" applyBorder="1"/>
    <xf numFmtId="0" fontId="16" fillId="0" borderId="35" xfId="0" applyFont="1" applyBorder="1"/>
    <xf numFmtId="0" fontId="16" fillId="0" borderId="1" xfId="0" applyFont="1" applyBorder="1"/>
    <xf numFmtId="0" fontId="16" fillId="0" borderId="38" xfId="0" applyFont="1" applyBorder="1"/>
    <xf numFmtId="0" fontId="16" fillId="0" borderId="39" xfId="0" applyFont="1" applyBorder="1"/>
    <xf numFmtId="0" fontId="16" fillId="0" borderId="33" xfId="0" applyFont="1" applyBorder="1"/>
    <xf numFmtId="0" fontId="16" fillId="0" borderId="45" xfId="0" applyFont="1" applyBorder="1"/>
    <xf numFmtId="0" fontId="16" fillId="0" borderId="26" xfId="0" applyFont="1" applyBorder="1"/>
    <xf numFmtId="0" fontId="16" fillId="2" borderId="5" xfId="0" applyFont="1" applyFill="1" applyBorder="1"/>
    <xf numFmtId="3" fontId="16" fillId="0" borderId="29" xfId="0" applyNumberFormat="1" applyFont="1" applyBorder="1"/>
    <xf numFmtId="0" fontId="10" fillId="2" borderId="4" xfId="0" applyFont="1" applyFill="1" applyBorder="1"/>
    <xf numFmtId="3" fontId="10" fillId="2" borderId="6" xfId="0" applyNumberFormat="1" applyFont="1" applyFill="1" applyBorder="1"/>
    <xf numFmtId="10" fontId="16" fillId="0" borderId="0" xfId="1" applyNumberFormat="1" applyFont="1"/>
    <xf numFmtId="4" fontId="7" fillId="0" borderId="0" xfId="0" applyNumberFormat="1" applyFont="1" applyAlignment="1">
      <alignment vertical="center"/>
    </xf>
    <xf numFmtId="10" fontId="7" fillId="0" borderId="0" xfId="1" applyNumberFormat="1" applyFont="1" applyFill="1" applyBorder="1" applyAlignment="1">
      <alignment vertical="center"/>
    </xf>
    <xf numFmtId="4" fontId="7" fillId="0" borderId="0" xfId="1" applyNumberFormat="1" applyFont="1" applyFill="1" applyBorder="1" applyAlignment="1">
      <alignment vertical="center"/>
    </xf>
    <xf numFmtId="4" fontId="20" fillId="0" borderId="17" xfId="0" applyNumberFormat="1" applyFont="1" applyBorder="1" applyAlignment="1">
      <alignment vertical="center"/>
    </xf>
    <xf numFmtId="4" fontId="7" fillId="0" borderId="0" xfId="0" applyNumberFormat="1" applyFont="1" applyAlignment="1">
      <alignment horizontal="right" vertical="center"/>
    </xf>
    <xf numFmtId="174" fontId="9" fillId="0" borderId="0" xfId="0" applyNumberFormat="1" applyFont="1" applyAlignment="1">
      <alignment vertical="center"/>
    </xf>
    <xf numFmtId="10" fontId="20" fillId="0" borderId="17" xfId="1" applyNumberFormat="1" applyFont="1" applyFill="1" applyBorder="1" applyAlignment="1">
      <alignment vertical="center"/>
    </xf>
    <xf numFmtId="193" fontId="7" fillId="0" borderId="0" xfId="0" applyNumberFormat="1" applyFont="1" applyAlignment="1">
      <alignment vertical="center"/>
    </xf>
    <xf numFmtId="168" fontId="20" fillId="0" borderId="17" xfId="1" applyNumberFormat="1" applyFont="1" applyFill="1" applyBorder="1" applyAlignment="1">
      <alignment horizontal="right" vertical="center"/>
    </xf>
    <xf numFmtId="4" fontId="22" fillId="0" borderId="0" xfId="0" applyNumberFormat="1" applyFont="1" applyAlignment="1">
      <alignment vertical="center"/>
    </xf>
    <xf numFmtId="4" fontId="3" fillId="4" borderId="0" xfId="0" applyNumberFormat="1" applyFont="1" applyFill="1" applyAlignment="1">
      <alignment vertical="center"/>
    </xf>
    <xf numFmtId="4" fontId="3" fillId="4" borderId="9" xfId="0" applyNumberFormat="1" applyFont="1" applyFill="1" applyBorder="1" applyAlignment="1">
      <alignment vertical="center"/>
    </xf>
    <xf numFmtId="4" fontId="3" fillId="4" borderId="10" xfId="0" applyNumberFormat="1" applyFont="1" applyFill="1" applyBorder="1" applyAlignment="1">
      <alignment vertical="center"/>
    </xf>
    <xf numFmtId="4" fontId="3" fillId="4" borderId="16" xfId="0" applyNumberFormat="1" applyFont="1" applyFill="1" applyBorder="1" applyAlignment="1">
      <alignment vertical="center"/>
    </xf>
    <xf numFmtId="4" fontId="3" fillId="4" borderId="12" xfId="0" applyNumberFormat="1" applyFont="1" applyFill="1" applyBorder="1" applyAlignment="1">
      <alignment vertical="center"/>
    </xf>
    <xf numFmtId="4" fontId="3" fillId="4" borderId="13" xfId="0" applyNumberFormat="1" applyFont="1" applyFill="1" applyBorder="1" applyAlignment="1">
      <alignment vertical="center"/>
    </xf>
    <xf numFmtId="4" fontId="2" fillId="8" borderId="0" xfId="0" applyNumberFormat="1" applyFont="1" applyFill="1" applyAlignment="1">
      <alignment horizontal="center" vertical="center"/>
    </xf>
    <xf numFmtId="4" fontId="3" fillId="2" borderId="0" xfId="0" applyNumberFormat="1" applyFont="1" applyFill="1" applyAlignment="1">
      <alignment horizontal="center" vertical="center" wrapText="1"/>
    </xf>
    <xf numFmtId="4" fontId="3" fillId="2" borderId="0" xfId="0" applyNumberFormat="1" applyFont="1" applyFill="1" applyAlignment="1">
      <alignment horizontal="center" vertical="center"/>
    </xf>
    <xf numFmtId="4" fontId="21" fillId="3" borderId="8" xfId="0" applyNumberFormat="1" applyFont="1" applyFill="1" applyBorder="1" applyAlignment="1">
      <alignment horizontal="center" vertical="center"/>
    </xf>
    <xf numFmtId="4" fontId="21" fillId="3" borderId="9" xfId="0" applyNumberFormat="1" applyFont="1" applyFill="1" applyBorder="1" applyAlignment="1">
      <alignment horizontal="center" vertical="center"/>
    </xf>
    <xf numFmtId="4" fontId="21" fillId="3" borderId="10" xfId="0" applyNumberFormat="1" applyFont="1" applyFill="1" applyBorder="1" applyAlignment="1">
      <alignment horizontal="center" vertical="center"/>
    </xf>
    <xf numFmtId="4" fontId="21" fillId="3" borderId="11" xfId="0" applyNumberFormat="1" applyFont="1" applyFill="1" applyBorder="1" applyAlignment="1">
      <alignment horizontal="center" vertical="center"/>
    </xf>
    <xf numFmtId="4" fontId="21" fillId="3" borderId="12" xfId="0" applyNumberFormat="1" applyFont="1" applyFill="1" applyBorder="1" applyAlignment="1">
      <alignment horizontal="center" vertical="center"/>
    </xf>
    <xf numFmtId="4" fontId="21" fillId="3" borderId="13" xfId="0" applyNumberFormat="1" applyFont="1" applyFill="1" applyBorder="1" applyAlignment="1">
      <alignment horizontal="center" vertical="center"/>
    </xf>
    <xf numFmtId="4" fontId="23" fillId="4" borderId="11" xfId="0" applyNumberFormat="1" applyFont="1" applyFill="1" applyBorder="1" applyAlignment="1">
      <alignment horizontal="left" vertical="center"/>
    </xf>
    <xf numFmtId="4" fontId="23" fillId="4" borderId="12" xfId="0" applyNumberFormat="1" applyFont="1" applyFill="1" applyBorder="1" applyAlignment="1">
      <alignment horizontal="left" vertical="center"/>
    </xf>
    <xf numFmtId="4" fontId="23" fillId="4" borderId="14" xfId="0" applyNumberFormat="1" applyFont="1" applyFill="1" applyBorder="1" applyAlignment="1">
      <alignment horizontal="left" vertical="center"/>
    </xf>
    <xf numFmtId="4" fontId="23" fillId="4" borderId="0" xfId="0" applyNumberFormat="1" applyFont="1" applyFill="1" applyAlignment="1">
      <alignment horizontal="center" vertical="center"/>
    </xf>
    <xf numFmtId="4" fontId="24" fillId="4" borderId="8" xfId="0" applyNumberFormat="1" applyFont="1" applyFill="1" applyBorder="1" applyAlignment="1">
      <alignment horizontal="left" vertical="center"/>
    </xf>
    <xf numFmtId="4" fontId="24" fillId="4" borderId="9" xfId="0" applyNumberFormat="1" applyFont="1" applyFill="1" applyBorder="1" applyAlignment="1">
      <alignment horizontal="left" vertical="center"/>
    </xf>
    <xf numFmtId="0" fontId="0" fillId="0" borderId="0" xfId="0" applyAlignment="1">
      <alignment horizontal="center" wrapText="1"/>
    </xf>
    <xf numFmtId="3" fontId="16" fillId="0" borderId="24" xfId="0" applyNumberFormat="1" applyFont="1" applyBorder="1"/>
    <xf numFmtId="4" fontId="3" fillId="4" borderId="0" xfId="0" applyNumberFormat="1" applyFont="1" applyFill="1" applyBorder="1" applyAlignment="1">
      <alignment vertical="center"/>
    </xf>
    <xf numFmtId="4" fontId="23" fillId="4" borderId="0" xfId="0" applyNumberFormat="1" applyFont="1" applyFill="1" applyBorder="1" applyAlignment="1">
      <alignment horizontal="left" vertical="center"/>
    </xf>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1">
    <dxf>
      <font>
        <condense val="0"/>
        <extend val="0"/>
        <color indexed="10"/>
      </font>
    </dxf>
  </dxfs>
  <tableStyles count="0" defaultTableStyle="TableStyleMedium9" defaultPivotStyle="PivotStyleLight16"/>
  <colors>
    <mruColors>
      <color rgb="FF00FF99"/>
      <color rgb="FFFFFF66"/>
      <color rgb="FFFFFF99"/>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K53"/>
  <sheetViews>
    <sheetView showGridLines="0" tabSelected="1" showRuler="0" zoomScaleNormal="100" zoomScalePageLayoutView="115" workbookViewId="0">
      <selection activeCell="J57" sqref="J57"/>
    </sheetView>
  </sheetViews>
  <sheetFormatPr baseColWidth="10" defaultColWidth="11.44140625" defaultRowHeight="13.2" outlineLevelRow="2" outlineLevelCol="2" x14ac:dyDescent="0.25"/>
  <cols>
    <col min="1" max="1" width="3.44140625" style="48" customWidth="1"/>
    <col min="2" max="2" width="1" style="49" customWidth="1"/>
    <col min="3" max="3" width="3.88671875" style="49" customWidth="1"/>
    <col min="4" max="4" width="9.88671875" style="49" customWidth="1"/>
    <col min="5" max="5" width="24.44140625" style="49" customWidth="1"/>
    <col min="6" max="6" width="11.88671875" style="49" customWidth="1"/>
    <col min="7" max="7" width="16.5546875" style="49" customWidth="1"/>
    <col min="8" max="8" width="14.44140625" style="49" customWidth="1" outlineLevel="2"/>
    <col min="9" max="9" width="10.88671875" style="49" customWidth="1" outlineLevel="2"/>
    <col min="10" max="10" width="2.88671875" style="49" customWidth="1"/>
    <col min="11" max="12" width="11.5546875" style="49" bestFit="1" customWidth="1"/>
    <col min="13" max="16384" width="11.44140625" style="49"/>
  </cols>
  <sheetData>
    <row r="1" spans="1:12" x14ac:dyDescent="0.25">
      <c r="G1" s="50"/>
    </row>
    <row r="2" spans="1:12" x14ac:dyDescent="0.25">
      <c r="G2" s="50"/>
    </row>
    <row r="3" spans="1:12" hidden="1" x14ac:dyDescent="0.25">
      <c r="G3" s="50"/>
    </row>
    <row r="4" spans="1:12" hidden="1" x14ac:dyDescent="0.25">
      <c r="G4" s="50"/>
    </row>
    <row r="5" spans="1:12" x14ac:dyDescent="0.25">
      <c r="B5" s="73"/>
      <c r="G5" s="50"/>
      <c r="K5" s="93"/>
      <c r="L5" s="93"/>
    </row>
    <row r="6" spans="1:12" ht="13.5" customHeight="1" x14ac:dyDescent="0.25">
      <c r="B6" s="175" t="s">
        <v>142</v>
      </c>
      <c r="C6" s="176"/>
      <c r="D6" s="176"/>
      <c r="E6" s="176"/>
      <c r="F6" s="177"/>
      <c r="G6" s="173" t="s">
        <v>0</v>
      </c>
      <c r="H6" s="174"/>
      <c r="I6" s="174"/>
      <c r="J6" s="60"/>
      <c r="K6" s="172"/>
      <c r="L6" s="172"/>
    </row>
    <row r="7" spans="1:12" ht="14.25" customHeight="1" x14ac:dyDescent="0.25">
      <c r="B7" s="178"/>
      <c r="C7" s="179"/>
      <c r="D7" s="179"/>
      <c r="E7" s="179"/>
      <c r="F7" s="180"/>
      <c r="G7" s="173"/>
      <c r="H7" s="174"/>
      <c r="I7" s="174"/>
      <c r="J7" s="60"/>
      <c r="K7" s="94"/>
      <c r="L7" s="94"/>
    </row>
    <row r="8" spans="1:12" ht="52.5" hidden="1" customHeight="1" x14ac:dyDescent="0.25">
      <c r="B8" s="184"/>
      <c r="C8" s="184"/>
      <c r="D8" s="184"/>
      <c r="E8" s="184"/>
      <c r="F8" s="184"/>
      <c r="G8" s="166"/>
      <c r="H8" s="166"/>
      <c r="I8" s="166"/>
      <c r="J8" s="166"/>
      <c r="K8" s="92"/>
      <c r="L8" s="92"/>
    </row>
    <row r="9" spans="1:12" ht="18.75" customHeight="1" x14ac:dyDescent="0.25">
      <c r="B9" s="185" t="s">
        <v>146</v>
      </c>
      <c r="C9" s="186"/>
      <c r="D9" s="186"/>
      <c r="E9" s="186"/>
      <c r="F9" s="186"/>
      <c r="G9" s="167"/>
      <c r="H9" s="167"/>
      <c r="I9" s="167"/>
      <c r="J9" s="168"/>
      <c r="K9" s="92"/>
      <c r="L9" s="92"/>
    </row>
    <row r="10" spans="1:12" ht="15" customHeight="1" x14ac:dyDescent="0.25">
      <c r="B10" s="183" t="s">
        <v>143</v>
      </c>
      <c r="C10" s="190"/>
      <c r="D10" s="190"/>
      <c r="E10" s="190"/>
      <c r="F10" s="190"/>
      <c r="G10" s="189"/>
      <c r="H10" s="189"/>
      <c r="I10" s="189"/>
      <c r="J10" s="169"/>
      <c r="K10" s="92"/>
      <c r="L10" s="92"/>
    </row>
    <row r="11" spans="1:12" ht="15" customHeight="1" x14ac:dyDescent="0.25">
      <c r="B11" s="183" t="s">
        <v>144</v>
      </c>
      <c r="C11" s="190"/>
      <c r="D11" s="190"/>
      <c r="E11" s="190"/>
      <c r="F11" s="190"/>
      <c r="G11" s="189"/>
      <c r="H11" s="189"/>
      <c r="I11" s="189"/>
      <c r="J11" s="169"/>
      <c r="K11" s="92"/>
      <c r="L11" s="92"/>
    </row>
    <row r="12" spans="1:12" ht="15" customHeight="1" x14ac:dyDescent="0.25">
      <c r="B12" s="181" t="s">
        <v>145</v>
      </c>
      <c r="C12" s="182"/>
      <c r="D12" s="182"/>
      <c r="E12" s="182"/>
      <c r="F12" s="182"/>
      <c r="G12" s="170"/>
      <c r="H12" s="170"/>
      <c r="I12" s="170"/>
      <c r="J12" s="171"/>
      <c r="K12" s="92"/>
      <c r="L12" s="92"/>
    </row>
    <row r="13" spans="1:12" ht="8.25" customHeight="1" x14ac:dyDescent="0.25">
      <c r="B13" s="1"/>
      <c r="C13" s="165"/>
      <c r="D13" s="1"/>
      <c r="E13" s="1"/>
      <c r="F13" s="1"/>
      <c r="G13" s="1"/>
      <c r="H13" s="1"/>
      <c r="I13" s="1"/>
      <c r="J13" s="1"/>
      <c r="K13" s="92"/>
      <c r="L13" s="92"/>
    </row>
    <row r="14" spans="1:12" s="52" customFormat="1" x14ac:dyDescent="0.2">
      <c r="A14" s="51"/>
      <c r="B14" s="61" t="s">
        <v>1</v>
      </c>
      <c r="C14" s="61"/>
      <c r="D14" s="61"/>
      <c r="E14" s="61"/>
      <c r="F14" s="61"/>
      <c r="G14" s="62">
        <f>SUM(G15,G16,G19,G20,G21,G25,G28,G29,G30,G31)</f>
        <v>13598988.143965274</v>
      </c>
      <c r="H14" s="63"/>
      <c r="I14" s="63"/>
      <c r="J14" s="63"/>
      <c r="K14" s="96"/>
      <c r="L14" s="96"/>
    </row>
    <row r="15" spans="1:12" s="52" customFormat="1" outlineLevel="1" x14ac:dyDescent="0.2">
      <c r="A15" s="51"/>
      <c r="B15" s="53"/>
      <c r="C15" s="64" t="s">
        <v>2</v>
      </c>
      <c r="D15" s="64"/>
      <c r="E15" s="64"/>
      <c r="F15" s="64"/>
      <c r="G15" s="65">
        <v>1122000.2206508794</v>
      </c>
      <c r="H15" s="66"/>
      <c r="I15" s="53"/>
      <c r="J15" s="53"/>
      <c r="K15" s="96"/>
      <c r="L15" s="96"/>
    </row>
    <row r="16" spans="1:12" s="52" customFormat="1" outlineLevel="1" x14ac:dyDescent="0.2">
      <c r="A16" s="51"/>
      <c r="B16" s="53"/>
      <c r="C16" s="64" t="s">
        <v>3</v>
      </c>
      <c r="D16" s="64"/>
      <c r="E16" s="64"/>
      <c r="F16" s="64"/>
      <c r="G16" s="65">
        <f>SUM(G17,G18)</f>
        <v>9261384.8602960017</v>
      </c>
      <c r="H16" s="53"/>
      <c r="I16" s="53"/>
      <c r="J16" s="53"/>
      <c r="K16" s="96"/>
      <c r="L16" s="96"/>
    </row>
    <row r="17" spans="1:12" outlineLevel="2" x14ac:dyDescent="0.25">
      <c r="B17" s="1"/>
      <c r="C17" s="1"/>
      <c r="D17" s="67" t="s">
        <v>4</v>
      </c>
      <c r="E17" s="67"/>
      <c r="F17" s="67"/>
      <c r="G17" s="68">
        <v>145416</v>
      </c>
      <c r="H17" s="1"/>
      <c r="I17" s="1"/>
      <c r="J17" s="1"/>
      <c r="K17" s="92"/>
      <c r="L17" s="92"/>
    </row>
    <row r="18" spans="1:12" outlineLevel="2" x14ac:dyDescent="0.25">
      <c r="B18" s="1"/>
      <c r="C18" s="1"/>
      <c r="D18" s="67" t="s">
        <v>5</v>
      </c>
      <c r="E18" s="67"/>
      <c r="F18" s="67"/>
      <c r="G18" s="68">
        <v>9115968.8602960017</v>
      </c>
      <c r="H18" s="70"/>
      <c r="I18" s="57"/>
      <c r="J18" s="57"/>
      <c r="K18" s="92"/>
      <c r="L18" s="92"/>
    </row>
    <row r="19" spans="1:12" s="52" customFormat="1" outlineLevel="1" x14ac:dyDescent="0.2">
      <c r="A19" s="51"/>
      <c r="B19" s="72"/>
      <c r="C19" s="64" t="s">
        <v>6</v>
      </c>
      <c r="D19" s="64"/>
      <c r="E19" s="64"/>
      <c r="F19" s="64"/>
      <c r="G19" s="65">
        <v>450223.34793127998</v>
      </c>
      <c r="H19" s="59"/>
      <c r="I19" s="53"/>
      <c r="J19" s="53"/>
      <c r="K19" s="95"/>
      <c r="L19" s="95"/>
    </row>
    <row r="20" spans="1:12" s="52" customFormat="1" outlineLevel="1" x14ac:dyDescent="0.2">
      <c r="A20" s="51"/>
      <c r="B20" s="53"/>
      <c r="C20" s="64" t="s">
        <v>7</v>
      </c>
      <c r="D20" s="64"/>
      <c r="E20" s="64"/>
      <c r="F20" s="64"/>
      <c r="G20" s="65">
        <v>500637.76028400002</v>
      </c>
      <c r="H20" s="53"/>
      <c r="I20" s="53"/>
      <c r="J20" s="53"/>
      <c r="K20" s="95"/>
      <c r="L20" s="95"/>
    </row>
    <row r="21" spans="1:12" s="52" customFormat="1" outlineLevel="1" x14ac:dyDescent="0.2">
      <c r="A21" s="51"/>
      <c r="B21" s="53"/>
      <c r="C21" s="64" t="s">
        <v>8</v>
      </c>
      <c r="D21" s="64"/>
      <c r="E21" s="64"/>
      <c r="F21" s="64"/>
      <c r="G21" s="65">
        <f>SUM(G22,G23,G24)</f>
        <v>728550.41166126856</v>
      </c>
      <c r="H21" s="159"/>
      <c r="I21" s="159"/>
      <c r="J21" s="159"/>
    </row>
    <row r="22" spans="1:12" outlineLevel="2" x14ac:dyDescent="0.25">
      <c r="B22" s="1"/>
      <c r="C22" s="1"/>
      <c r="D22" s="67" t="s">
        <v>109</v>
      </c>
      <c r="E22" s="2"/>
      <c r="F22" s="2"/>
      <c r="G22" s="68">
        <v>19914.583333333332</v>
      </c>
      <c r="H22" s="160"/>
      <c r="I22" s="160"/>
      <c r="J22" s="160"/>
    </row>
    <row r="23" spans="1:12" outlineLevel="2" x14ac:dyDescent="0.25">
      <c r="B23" s="1"/>
      <c r="C23" s="1"/>
      <c r="D23" s="67" t="s">
        <v>9</v>
      </c>
      <c r="E23" s="67"/>
      <c r="F23" s="67"/>
      <c r="G23" s="68">
        <v>628248.01848793519</v>
      </c>
      <c r="H23" s="161" t="e">
        <f>#REF!</f>
        <v>#REF!</v>
      </c>
      <c r="I23" s="156"/>
      <c r="J23" s="156"/>
    </row>
    <row r="24" spans="1:12" outlineLevel="2" x14ac:dyDescent="0.25">
      <c r="B24" s="1"/>
      <c r="C24" s="1"/>
      <c r="D24" s="67" t="s">
        <v>10</v>
      </c>
      <c r="E24" s="67"/>
      <c r="F24" s="67"/>
      <c r="G24" s="68">
        <v>80387.809839999987</v>
      </c>
      <c r="H24" s="161" t="e">
        <f>#REF!</f>
        <v>#REF!</v>
      </c>
      <c r="I24" s="156"/>
      <c r="J24" s="156"/>
    </row>
    <row r="25" spans="1:12" s="52" customFormat="1" outlineLevel="1" x14ac:dyDescent="0.2">
      <c r="A25" s="51"/>
      <c r="B25" s="53"/>
      <c r="C25" s="64" t="s">
        <v>11</v>
      </c>
      <c r="D25" s="64"/>
      <c r="E25" s="64"/>
      <c r="F25" s="64"/>
      <c r="G25" s="76">
        <f>SUM(G26,G27)</f>
        <v>463775.826</v>
      </c>
      <c r="H25" s="162" t="e">
        <f>+H27+H26</f>
        <v>#REF!</v>
      </c>
      <c r="I25" s="159"/>
      <c r="J25" s="159"/>
    </row>
    <row r="26" spans="1:12" outlineLevel="2" x14ac:dyDescent="0.25">
      <c r="B26" s="1"/>
      <c r="C26" s="1"/>
      <c r="D26" s="67" t="s">
        <v>12</v>
      </c>
      <c r="E26" s="67"/>
      <c r="F26" s="67"/>
      <c r="G26" s="68">
        <v>154591.94200000001</v>
      </c>
      <c r="H26" s="157" t="e">
        <f>#REF!</f>
        <v>#REF!</v>
      </c>
      <c r="I26" s="156"/>
      <c r="J26" s="156"/>
    </row>
    <row r="27" spans="1:12" outlineLevel="2" x14ac:dyDescent="0.25">
      <c r="B27" s="1"/>
      <c r="C27" s="1"/>
      <c r="D27" s="67" t="s">
        <v>13</v>
      </c>
      <c r="E27" s="67"/>
      <c r="F27" s="67"/>
      <c r="G27" s="68">
        <v>309183.88400000002</v>
      </c>
      <c r="H27" s="157" t="e">
        <f>#REF!</f>
        <v>#REF!</v>
      </c>
      <c r="I27" s="163" t="e">
        <f>#REF!/12</f>
        <v>#REF!</v>
      </c>
      <c r="J27" s="158"/>
    </row>
    <row r="28" spans="1:12" s="52" customFormat="1" outlineLevel="1" x14ac:dyDescent="0.2">
      <c r="A28" s="51"/>
      <c r="B28" s="53"/>
      <c r="C28" s="64" t="s">
        <v>14</v>
      </c>
      <c r="D28" s="64"/>
      <c r="E28" s="64"/>
      <c r="F28" s="64"/>
      <c r="G28" s="65">
        <v>68968.402888489858</v>
      </c>
      <c r="H28" s="159"/>
      <c r="I28" s="159"/>
      <c r="J28" s="159"/>
    </row>
    <row r="29" spans="1:12" s="52" customFormat="1" outlineLevel="1" x14ac:dyDescent="0.2">
      <c r="A29" s="51"/>
      <c r="B29" s="53"/>
      <c r="C29" s="64" t="s">
        <v>15</v>
      </c>
      <c r="D29" s="64"/>
      <c r="E29" s="64"/>
      <c r="F29" s="64"/>
      <c r="G29" s="65">
        <v>772959.71</v>
      </c>
      <c r="H29" s="164" t="e">
        <f>+#REF!</f>
        <v>#REF!</v>
      </c>
      <c r="I29" s="159"/>
      <c r="J29" s="159"/>
    </row>
    <row r="30" spans="1:12" s="52" customFormat="1" outlineLevel="1" x14ac:dyDescent="0.2">
      <c r="A30" s="51"/>
      <c r="B30" s="53"/>
      <c r="C30" s="64" t="s">
        <v>16</v>
      </c>
      <c r="D30" s="64"/>
      <c r="E30" s="64"/>
      <c r="F30" s="64"/>
      <c r="G30" s="65">
        <v>37247.676753354295</v>
      </c>
      <c r="H30" s="159"/>
      <c r="I30" s="159"/>
      <c r="J30" s="159"/>
    </row>
    <row r="31" spans="1:12" s="52" customFormat="1" outlineLevel="1" x14ac:dyDescent="0.2">
      <c r="A31" s="51"/>
      <c r="B31" s="53"/>
      <c r="C31" s="64" t="s">
        <v>22</v>
      </c>
      <c r="D31" s="64"/>
      <c r="E31" s="64"/>
      <c r="F31" s="64"/>
      <c r="G31" s="65">
        <f>SUM(G32)</f>
        <v>193239.92749999999</v>
      </c>
      <c r="H31" s="164" t="e">
        <f>+#REF!</f>
        <v>#REF!</v>
      </c>
      <c r="I31" s="159"/>
      <c r="J31" s="159"/>
    </row>
    <row r="32" spans="1:12" outlineLevel="2" x14ac:dyDescent="0.25">
      <c r="B32" s="1"/>
      <c r="C32" s="1"/>
      <c r="D32" s="67" t="s">
        <v>102</v>
      </c>
      <c r="E32" s="2"/>
      <c r="F32" s="2"/>
      <c r="G32" s="68">
        <v>193239.92749999999</v>
      </c>
      <c r="H32" s="69"/>
      <c r="I32" s="1"/>
      <c r="J32" s="1"/>
    </row>
    <row r="33" spans="1:10" x14ac:dyDescent="0.25">
      <c r="B33" s="1"/>
      <c r="C33" s="1"/>
      <c r="D33" s="1"/>
      <c r="E33" s="1"/>
      <c r="F33" s="1"/>
      <c r="G33" s="69"/>
      <c r="H33" s="71"/>
      <c r="I33" s="75"/>
      <c r="J33" s="75"/>
    </row>
    <row r="34" spans="1:10" s="52" customFormat="1" x14ac:dyDescent="0.2">
      <c r="A34" s="51"/>
      <c r="B34" s="61" t="s">
        <v>17</v>
      </c>
      <c r="C34" s="61"/>
      <c r="D34" s="61"/>
      <c r="E34" s="61"/>
      <c r="F34" s="61"/>
      <c r="G34" s="77">
        <f>G35</f>
        <v>15459194.199999999</v>
      </c>
      <c r="H34" s="78"/>
      <c r="I34" s="78"/>
      <c r="J34" s="78"/>
    </row>
    <row r="35" spans="1:10" s="52" customFormat="1" outlineLevel="1" x14ac:dyDescent="0.2">
      <c r="A35" s="51"/>
      <c r="B35" s="58"/>
      <c r="C35" s="79" t="s">
        <v>18</v>
      </c>
      <c r="D35" s="79"/>
      <c r="E35" s="79"/>
      <c r="F35" s="79"/>
      <c r="G35" s="80">
        <v>15459194.199999999</v>
      </c>
      <c r="H35" s="58"/>
      <c r="I35" s="58"/>
      <c r="J35" s="58"/>
    </row>
    <row r="36" spans="1:10" hidden="1" x14ac:dyDescent="0.25">
      <c r="B36" s="1"/>
      <c r="C36" s="1"/>
      <c r="D36" s="1"/>
      <c r="E36" s="1"/>
      <c r="F36" s="1"/>
      <c r="G36" s="1"/>
      <c r="H36" s="1"/>
      <c r="I36" s="1"/>
      <c r="J36" s="1"/>
    </row>
    <row r="37" spans="1:10" hidden="1" collapsed="1" x14ac:dyDescent="0.25">
      <c r="B37" s="1"/>
      <c r="C37" s="1"/>
      <c r="D37" s="1"/>
      <c r="E37" s="1"/>
      <c r="F37" s="1"/>
      <c r="G37" s="1"/>
      <c r="H37" s="1"/>
      <c r="I37" s="73"/>
      <c r="J37" s="73"/>
    </row>
    <row r="38" spans="1:10" x14ac:dyDescent="0.25">
      <c r="B38" s="1"/>
      <c r="C38" s="1"/>
      <c r="D38" s="1"/>
      <c r="E38" s="1"/>
      <c r="F38" s="1"/>
      <c r="G38" s="1"/>
      <c r="H38" s="1"/>
      <c r="I38" s="81"/>
      <c r="J38" s="81"/>
    </row>
    <row r="39" spans="1:10" x14ac:dyDescent="0.25">
      <c r="B39" s="1"/>
      <c r="C39" s="1"/>
      <c r="D39" s="82" t="s">
        <v>1</v>
      </c>
      <c r="E39" s="83"/>
      <c r="F39" s="83"/>
      <c r="G39" s="83"/>
      <c r="H39" s="84">
        <f>G14</f>
        <v>13598988.143965274</v>
      </c>
      <c r="I39" s="1"/>
      <c r="J39" s="85"/>
    </row>
    <row r="40" spans="1:10" x14ac:dyDescent="0.25">
      <c r="B40" s="1"/>
      <c r="C40" s="1"/>
      <c r="D40" s="86" t="s">
        <v>17</v>
      </c>
      <c r="E40" s="87"/>
      <c r="F40" s="87"/>
      <c r="G40" s="87"/>
      <c r="H40" s="88">
        <f>G34</f>
        <v>15459194.199999999</v>
      </c>
      <c r="I40" s="1"/>
      <c r="J40" s="85"/>
    </row>
    <row r="41" spans="1:10" x14ac:dyDescent="0.25">
      <c r="B41" s="1"/>
      <c r="C41" s="1"/>
      <c r="D41" s="89" t="s">
        <v>19</v>
      </c>
      <c r="E41" s="90"/>
      <c r="F41" s="90"/>
      <c r="G41" s="90"/>
      <c r="H41" s="91">
        <f>H40-H39</f>
        <v>1860206.0560347252</v>
      </c>
      <c r="I41" s="1"/>
      <c r="J41" s="85"/>
    </row>
    <row r="42" spans="1:10" ht="12.9" customHeight="1" x14ac:dyDescent="0.25">
      <c r="G42" s="74" t="s">
        <v>20</v>
      </c>
      <c r="H42" s="54">
        <f>H41/H40</f>
        <v>0.12033007878474838</v>
      </c>
    </row>
    <row r="43" spans="1:10" ht="36.75" hidden="1" customHeight="1" x14ac:dyDescent="0.25">
      <c r="G43" s="74"/>
      <c r="H43" s="56"/>
    </row>
    <row r="44" spans="1:10" hidden="1" x14ac:dyDescent="0.25">
      <c r="B44" s="1"/>
      <c r="C44" s="1"/>
      <c r="D44" s="97" t="s">
        <v>107</v>
      </c>
      <c r="E44" s="98"/>
      <c r="F44" s="98"/>
      <c r="G44" s="100">
        <v>0</v>
      </c>
      <c r="H44" s="99">
        <f>G44*H40</f>
        <v>0</v>
      </c>
      <c r="I44" s="1"/>
      <c r="J44" s="85"/>
    </row>
    <row r="45" spans="1:10" hidden="1" x14ac:dyDescent="0.25">
      <c r="B45" s="1"/>
      <c r="C45" s="1"/>
      <c r="D45" s="97" t="s">
        <v>108</v>
      </c>
      <c r="E45" s="98"/>
      <c r="F45" s="98"/>
      <c r="G45" s="98"/>
      <c r="H45" s="99">
        <f>H41-H44</f>
        <v>1860206.0560347252</v>
      </c>
      <c r="I45" s="1"/>
      <c r="J45" s="85"/>
    </row>
    <row r="46" spans="1:10" ht="12.9" customHeight="1" x14ac:dyDescent="0.25">
      <c r="G46" s="74"/>
      <c r="H46" s="56"/>
    </row>
    <row r="47" spans="1:10" ht="12.9" customHeight="1" x14ac:dyDescent="0.25">
      <c r="G47" s="74" t="s">
        <v>110</v>
      </c>
      <c r="H47" s="56">
        <f>'Cuenta de Tesoreria'!D43</f>
        <v>3240000</v>
      </c>
    </row>
    <row r="48" spans="1:10" ht="4.5" customHeight="1" x14ac:dyDescent="0.25">
      <c r="G48" s="74"/>
      <c r="H48" s="56"/>
    </row>
    <row r="49" spans="6:8" ht="12.9" customHeight="1" x14ac:dyDescent="0.25">
      <c r="F49" s="55">
        <v>0.5</v>
      </c>
      <c r="G49" s="74" t="s">
        <v>141</v>
      </c>
      <c r="H49" s="56">
        <f>H47*F49</f>
        <v>1620000</v>
      </c>
    </row>
    <row r="50" spans="6:8" ht="12.9" customHeight="1" x14ac:dyDescent="0.25">
      <c r="G50" s="74" t="s">
        <v>111</v>
      </c>
      <c r="H50" s="54">
        <f>H41*F49/H49</f>
        <v>0.57413767161565588</v>
      </c>
    </row>
    <row r="51" spans="6:8" ht="12.9" customHeight="1" x14ac:dyDescent="0.25">
      <c r="G51" s="74" t="s">
        <v>112</v>
      </c>
      <c r="H51" s="54">
        <f>H50/H53*12</f>
        <v>0.22965506864626234</v>
      </c>
    </row>
    <row r="52" spans="6:8" ht="12.9" customHeight="1" x14ac:dyDescent="0.25">
      <c r="G52" s="74" t="s">
        <v>114</v>
      </c>
      <c r="H52" s="54">
        <v>0.26590000000000003</v>
      </c>
    </row>
    <row r="53" spans="6:8" ht="12.9" customHeight="1" x14ac:dyDescent="0.25">
      <c r="G53" s="74" t="s">
        <v>113</v>
      </c>
      <c r="H53" s="101">
        <v>30</v>
      </c>
    </row>
  </sheetData>
  <mergeCells count="10">
    <mergeCell ref="K6:L6"/>
    <mergeCell ref="B6:F7"/>
    <mergeCell ref="H6:H7"/>
    <mergeCell ref="I6:I7"/>
    <mergeCell ref="G6:G7"/>
    <mergeCell ref="B12:F12"/>
    <mergeCell ref="B11:F11"/>
    <mergeCell ref="B8:F8"/>
    <mergeCell ref="B9:F9"/>
    <mergeCell ref="B10:F10"/>
  </mergeCells>
  <conditionalFormatting sqref="H4:J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8" orientation="portrait" r:id="rId1"/>
  <headerFooter alignWithMargins="0">
    <oddHeader>&amp;L&amp;G</oddHeader>
    <oddFooter>&amp;L&amp;F - &amp;D&amp;Cpágina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5117-1C00-4E6B-B42F-BACE264112EE}">
  <dimension ref="B4:BD50"/>
  <sheetViews>
    <sheetView showZeros="0" workbookViewId="0"/>
  </sheetViews>
  <sheetFormatPr baseColWidth="10" defaultColWidth="11.44140625" defaultRowHeight="13.2" outlineLevelCol="1" x14ac:dyDescent="0.3"/>
  <cols>
    <col min="1" max="1" width="4" style="102" customWidth="1"/>
    <col min="2" max="2" width="3" style="102" customWidth="1"/>
    <col min="3" max="3" width="32.6640625" style="102" customWidth="1"/>
    <col min="4" max="4" width="12" style="102" customWidth="1"/>
    <col min="5" max="5" width="4.109375" style="102" customWidth="1"/>
    <col min="6" max="22" width="11.44140625" style="102"/>
    <col min="23" max="23" width="12.6640625" style="102" bestFit="1" customWidth="1"/>
    <col min="24" max="34" width="11.44140625" style="102"/>
    <col min="35" max="47" width="11.44140625" style="102" outlineLevel="1"/>
    <col min="48" max="16384" width="11.44140625" style="102"/>
  </cols>
  <sheetData>
    <row r="4" spans="2:47" ht="25.8" x14ac:dyDescent="0.5">
      <c r="F4" s="103" t="s">
        <v>140</v>
      </c>
      <c r="O4" s="103"/>
      <c r="P4" s="103"/>
      <c r="Q4" s="103"/>
      <c r="R4" s="103"/>
      <c r="S4" s="103"/>
      <c r="T4" s="103"/>
      <c r="U4" s="103"/>
      <c r="X4" s="104"/>
      <c r="Y4" s="105"/>
      <c r="Z4" s="103"/>
      <c r="AA4" s="103"/>
      <c r="AB4" s="103"/>
      <c r="AC4" s="103"/>
      <c r="AD4" s="103"/>
      <c r="AE4" s="103"/>
      <c r="AF4" s="103"/>
      <c r="AG4" s="103"/>
      <c r="AH4" s="103"/>
      <c r="AI4" s="103"/>
      <c r="AJ4" s="103"/>
      <c r="AK4" s="103"/>
      <c r="AL4" s="103"/>
      <c r="AM4" s="103"/>
      <c r="AN4" s="103"/>
      <c r="AO4" s="103"/>
      <c r="AP4" s="103"/>
      <c r="AQ4" s="103"/>
      <c r="AR4" s="103"/>
      <c r="AS4" s="103"/>
      <c r="AT4" s="103"/>
      <c r="AU4" s="103"/>
    </row>
    <row r="6" spans="2:47" x14ac:dyDescent="0.3">
      <c r="D6" s="106" t="s">
        <v>103</v>
      </c>
      <c r="E6" s="107"/>
      <c r="F6" s="106">
        <v>45536</v>
      </c>
      <c r="G6" s="106">
        <v>45566</v>
      </c>
      <c r="H6" s="106">
        <v>45597</v>
      </c>
      <c r="I6" s="106">
        <v>45627</v>
      </c>
      <c r="J6" s="106">
        <v>45658</v>
      </c>
      <c r="K6" s="106">
        <v>45689</v>
      </c>
      <c r="L6" s="106">
        <v>45717</v>
      </c>
      <c r="M6" s="106">
        <v>45748</v>
      </c>
      <c r="N6" s="106">
        <v>45778</v>
      </c>
      <c r="O6" s="106">
        <v>45809</v>
      </c>
      <c r="P6" s="106">
        <v>45839</v>
      </c>
      <c r="Q6" s="106">
        <v>45870</v>
      </c>
      <c r="R6" s="106">
        <v>45901</v>
      </c>
      <c r="S6" s="106">
        <v>45931</v>
      </c>
      <c r="T6" s="106">
        <v>45962</v>
      </c>
      <c r="U6" s="106">
        <v>45992</v>
      </c>
      <c r="V6" s="106">
        <v>46023</v>
      </c>
      <c r="W6" s="106">
        <v>46054</v>
      </c>
      <c r="X6" s="106">
        <v>46082</v>
      </c>
      <c r="Y6" s="106">
        <v>46113</v>
      </c>
      <c r="Z6" s="106">
        <v>46143</v>
      </c>
      <c r="AA6" s="106">
        <v>46174</v>
      </c>
      <c r="AB6" s="106">
        <v>46204</v>
      </c>
      <c r="AC6" s="106">
        <v>46235</v>
      </c>
      <c r="AD6" s="106">
        <v>46266</v>
      </c>
      <c r="AE6" s="106">
        <v>46296</v>
      </c>
      <c r="AF6" s="106">
        <v>46327</v>
      </c>
      <c r="AG6" s="106">
        <v>46357</v>
      </c>
      <c r="AH6" s="106">
        <v>46388</v>
      </c>
      <c r="AI6" s="106">
        <v>46419</v>
      </c>
      <c r="AJ6" s="106">
        <v>46447</v>
      </c>
      <c r="AK6" s="106">
        <v>46478</v>
      </c>
      <c r="AL6" s="106">
        <v>46508</v>
      </c>
      <c r="AM6" s="106">
        <v>46539</v>
      </c>
      <c r="AN6" s="106">
        <v>46569</v>
      </c>
      <c r="AO6" s="106">
        <v>46600</v>
      </c>
      <c r="AP6" s="106">
        <v>46631</v>
      </c>
      <c r="AQ6" s="106">
        <v>46661</v>
      </c>
      <c r="AR6" s="106">
        <v>46692</v>
      </c>
      <c r="AS6" s="106">
        <v>46722</v>
      </c>
      <c r="AT6" s="106">
        <v>46753</v>
      </c>
      <c r="AU6" s="106">
        <v>46784</v>
      </c>
    </row>
    <row r="7" spans="2:47" x14ac:dyDescent="0.3">
      <c r="B7" s="108" t="s">
        <v>115</v>
      </c>
      <c r="C7" s="109"/>
      <c r="D7" s="110">
        <f>SUM(D8:D12)</f>
        <v>15459194.199999999</v>
      </c>
      <c r="E7" s="111"/>
      <c r="F7" s="110">
        <f>SUM(F8:F12)</f>
        <v>0</v>
      </c>
      <c r="G7" s="110">
        <f t="shared" ref="G7:AU7" si="0">SUM(G8:G12)</f>
        <v>0</v>
      </c>
      <c r="H7" s="110">
        <f t="shared" si="0"/>
        <v>2884.6153846153843</v>
      </c>
      <c r="I7" s="110">
        <f t="shared" si="0"/>
        <v>11538.461538461537</v>
      </c>
      <c r="J7" s="110">
        <f t="shared" si="0"/>
        <v>11538.461538461537</v>
      </c>
      <c r="K7" s="110">
        <f t="shared" si="0"/>
        <v>11538.461538461537</v>
      </c>
      <c r="L7" s="110">
        <f t="shared" si="0"/>
        <v>11538.461538461537</v>
      </c>
      <c r="M7" s="110">
        <f t="shared" si="0"/>
        <v>11538.461538461537</v>
      </c>
      <c r="N7" s="110">
        <f t="shared" si="0"/>
        <v>11538.461538461537</v>
      </c>
      <c r="O7" s="110">
        <f t="shared" si="0"/>
        <v>11538.461538461537</v>
      </c>
      <c r="P7" s="110">
        <f t="shared" si="0"/>
        <v>180457.36569447452</v>
      </c>
      <c r="Q7" s="110">
        <f t="shared" si="0"/>
        <v>87094.051830985904</v>
      </c>
      <c r="R7" s="110">
        <f t="shared" si="0"/>
        <v>93428.164691421262</v>
      </c>
      <c r="S7" s="110">
        <f t="shared" si="0"/>
        <v>99762.27755185659</v>
      </c>
      <c r="T7" s="110">
        <f t="shared" si="0"/>
        <v>106096.39041229192</v>
      </c>
      <c r="U7" s="110">
        <f t="shared" si="0"/>
        <v>112430.50327272728</v>
      </c>
      <c r="V7" s="110">
        <f t="shared" si="0"/>
        <v>118764.61613316261</v>
      </c>
      <c r="W7" s="110">
        <f t="shared" si="0"/>
        <v>125098.72899359796</v>
      </c>
      <c r="X7" s="110">
        <f t="shared" si="0"/>
        <v>131432.84185403329</v>
      </c>
      <c r="Y7" s="110">
        <f t="shared" si="0"/>
        <v>137766.95471446862</v>
      </c>
      <c r="Z7" s="110">
        <f t="shared" si="0"/>
        <v>138331.8368056732</v>
      </c>
      <c r="AA7" s="110">
        <f t="shared" si="0"/>
        <v>124080.0828696937</v>
      </c>
      <c r="AB7" s="110">
        <f t="shared" si="0"/>
        <v>112430.50327272728</v>
      </c>
      <c r="AC7" s="110">
        <f t="shared" si="0"/>
        <v>112430.50327272728</v>
      </c>
      <c r="AD7" s="110">
        <f t="shared" si="0"/>
        <v>112430.50327272728</v>
      </c>
      <c r="AE7" s="110">
        <f t="shared" si="0"/>
        <v>112430.50327272728</v>
      </c>
      <c r="AF7" s="110">
        <f t="shared" si="0"/>
        <v>112430.50327272728</v>
      </c>
      <c r="AG7" s="110">
        <f t="shared" si="0"/>
        <v>112430.50327272728</v>
      </c>
      <c r="AH7" s="110">
        <f t="shared" si="0"/>
        <v>112430.50327272728</v>
      </c>
      <c r="AI7" s="112">
        <f t="shared" si="0"/>
        <v>112430.50327272728</v>
      </c>
      <c r="AJ7" s="110">
        <f t="shared" si="0"/>
        <v>112430.50327272728</v>
      </c>
      <c r="AK7" s="110">
        <f t="shared" si="0"/>
        <v>112430.50327272728</v>
      </c>
      <c r="AL7" s="112">
        <f t="shared" si="0"/>
        <v>112430.50327272728</v>
      </c>
      <c r="AM7" s="110">
        <f t="shared" si="0"/>
        <v>112430.50327272728</v>
      </c>
      <c r="AN7" s="110">
        <f t="shared" si="0"/>
        <v>12571630.49974904</v>
      </c>
      <c r="AO7" s="110">
        <f t="shared" si="0"/>
        <v>0</v>
      </c>
      <c r="AP7" s="110">
        <f t="shared" si="0"/>
        <v>0</v>
      </c>
      <c r="AQ7" s="110">
        <f t="shared" si="0"/>
        <v>0</v>
      </c>
      <c r="AR7" s="110">
        <f t="shared" si="0"/>
        <v>0</v>
      </c>
      <c r="AS7" s="110">
        <f t="shared" si="0"/>
        <v>0</v>
      </c>
      <c r="AT7" s="110">
        <f t="shared" si="0"/>
        <v>0</v>
      </c>
      <c r="AU7" s="110">
        <f t="shared" si="0"/>
        <v>0</v>
      </c>
    </row>
    <row r="8" spans="2:47" x14ac:dyDescent="0.3">
      <c r="B8" s="113"/>
      <c r="C8" s="114" t="s">
        <v>101</v>
      </c>
      <c r="D8" s="115">
        <v>204807.69230769228</v>
      </c>
      <c r="E8" s="116"/>
      <c r="F8" s="117">
        <v>0</v>
      </c>
      <c r="G8" s="118">
        <v>0</v>
      </c>
      <c r="H8" s="118">
        <v>2884.6153846153843</v>
      </c>
      <c r="I8" s="118">
        <v>11538.461538461537</v>
      </c>
      <c r="J8" s="118">
        <v>11538.461538461537</v>
      </c>
      <c r="K8" s="118">
        <v>11538.461538461537</v>
      </c>
      <c r="L8" s="118">
        <v>11538.461538461537</v>
      </c>
      <c r="M8" s="118">
        <v>11538.461538461537</v>
      </c>
      <c r="N8" s="118">
        <v>11538.461538461537</v>
      </c>
      <c r="O8" s="118">
        <v>11538.461538461537</v>
      </c>
      <c r="P8" s="118">
        <v>11538.461538461537</v>
      </c>
      <c r="Q8" s="118">
        <v>11538.461538461537</v>
      </c>
      <c r="R8" s="118">
        <v>11538.461538461537</v>
      </c>
      <c r="S8" s="118">
        <v>11538.461538461537</v>
      </c>
      <c r="T8" s="118">
        <v>11538.461538461537</v>
      </c>
      <c r="U8" s="118">
        <v>11538.461538461537</v>
      </c>
      <c r="V8" s="118">
        <v>11538.461538461537</v>
      </c>
      <c r="W8" s="118">
        <v>11538.461538461537</v>
      </c>
      <c r="X8" s="118">
        <v>11538.461538461537</v>
      </c>
      <c r="Y8" s="118">
        <v>11538.461538461537</v>
      </c>
      <c r="Z8" s="118">
        <v>5769.2307692307686</v>
      </c>
      <c r="AA8" s="118">
        <v>0</v>
      </c>
      <c r="AB8" s="118">
        <v>0</v>
      </c>
      <c r="AC8" s="118">
        <v>0</v>
      </c>
      <c r="AD8" s="118">
        <v>0</v>
      </c>
      <c r="AE8" s="118">
        <v>0</v>
      </c>
      <c r="AF8" s="118">
        <v>0</v>
      </c>
      <c r="AG8" s="118">
        <v>0</v>
      </c>
      <c r="AH8" s="118">
        <v>0</v>
      </c>
      <c r="AI8" s="118">
        <v>0</v>
      </c>
      <c r="AJ8" s="118">
        <v>0</v>
      </c>
      <c r="AK8" s="118">
        <v>0</v>
      </c>
      <c r="AL8" s="118">
        <v>0</v>
      </c>
      <c r="AM8" s="118">
        <v>0</v>
      </c>
      <c r="AN8" s="118">
        <v>0</v>
      </c>
      <c r="AO8" s="118">
        <v>0</v>
      </c>
      <c r="AP8" s="118">
        <v>0</v>
      </c>
      <c r="AQ8" s="118">
        <v>0</v>
      </c>
      <c r="AR8" s="118">
        <v>0</v>
      </c>
      <c r="AS8" s="118">
        <v>0</v>
      </c>
      <c r="AT8" s="118">
        <v>0</v>
      </c>
      <c r="AU8" s="119">
        <v>0</v>
      </c>
    </row>
    <row r="9" spans="2:47" x14ac:dyDescent="0.3">
      <c r="B9" s="120"/>
      <c r="C9" s="121" t="s">
        <v>116</v>
      </c>
      <c r="D9" s="122">
        <v>413560.07569230761</v>
      </c>
      <c r="E9" s="116"/>
      <c r="F9" s="123">
        <v>0</v>
      </c>
      <c r="G9" s="124">
        <v>0</v>
      </c>
      <c r="H9" s="124">
        <v>0</v>
      </c>
      <c r="I9" s="124">
        <v>0</v>
      </c>
      <c r="J9" s="124">
        <v>0</v>
      </c>
      <c r="K9" s="124">
        <v>0</v>
      </c>
      <c r="L9" s="124">
        <v>0</v>
      </c>
      <c r="M9" s="124">
        <v>0</v>
      </c>
      <c r="N9" s="124">
        <v>0</v>
      </c>
      <c r="O9" s="124">
        <v>0</v>
      </c>
      <c r="P9" s="124">
        <v>168918.90415601298</v>
      </c>
      <c r="Q9" s="124">
        <v>23299.159193932825</v>
      </c>
      <c r="R9" s="124">
        <v>23299.159193932825</v>
      </c>
      <c r="S9" s="124">
        <v>23299.159193932825</v>
      </c>
      <c r="T9" s="124">
        <v>23299.159193932825</v>
      </c>
      <c r="U9" s="124">
        <v>23299.159193932825</v>
      </c>
      <c r="V9" s="124">
        <v>23299.159193932825</v>
      </c>
      <c r="W9" s="124">
        <v>23299.159193932825</v>
      </c>
      <c r="X9" s="124">
        <v>23299.159193932825</v>
      </c>
      <c r="Y9" s="124">
        <v>23299.159193932825</v>
      </c>
      <c r="Z9" s="124">
        <v>23299.159193932825</v>
      </c>
      <c r="AA9" s="124">
        <v>11649.579596966412</v>
      </c>
      <c r="AB9" s="124">
        <v>0</v>
      </c>
      <c r="AC9" s="124">
        <v>0</v>
      </c>
      <c r="AD9" s="124">
        <v>0</v>
      </c>
      <c r="AE9" s="124">
        <v>0</v>
      </c>
      <c r="AF9" s="124">
        <v>0</v>
      </c>
      <c r="AG9" s="124">
        <v>0</v>
      </c>
      <c r="AH9" s="124">
        <v>0</v>
      </c>
      <c r="AI9" s="124">
        <v>0</v>
      </c>
      <c r="AJ9" s="124">
        <v>0</v>
      </c>
      <c r="AK9" s="124">
        <v>0</v>
      </c>
      <c r="AL9" s="124">
        <v>0</v>
      </c>
      <c r="AM9" s="124">
        <v>0</v>
      </c>
      <c r="AN9" s="124">
        <v>0</v>
      </c>
      <c r="AO9" s="124">
        <v>0</v>
      </c>
      <c r="AP9" s="124">
        <v>0</v>
      </c>
      <c r="AQ9" s="124">
        <v>0</v>
      </c>
      <c r="AR9" s="124">
        <v>0</v>
      </c>
      <c r="AS9" s="124">
        <v>0</v>
      </c>
      <c r="AT9" s="124">
        <v>0</v>
      </c>
      <c r="AU9" s="125">
        <v>0</v>
      </c>
    </row>
    <row r="10" spans="2:47" x14ac:dyDescent="0.3">
      <c r="B10" s="120"/>
      <c r="C10" s="121" t="s">
        <v>105</v>
      </c>
      <c r="D10" s="122">
        <v>2381626.4355236879</v>
      </c>
      <c r="E10" s="116"/>
      <c r="F10" s="123">
        <v>0</v>
      </c>
      <c r="G10" s="124">
        <v>0</v>
      </c>
      <c r="H10" s="124">
        <v>0</v>
      </c>
      <c r="I10" s="124">
        <v>0</v>
      </c>
      <c r="J10" s="124">
        <v>0</v>
      </c>
      <c r="K10" s="124">
        <v>0</v>
      </c>
      <c r="L10" s="124">
        <v>0</v>
      </c>
      <c r="M10" s="124">
        <v>0</v>
      </c>
      <c r="N10" s="124">
        <v>0</v>
      </c>
      <c r="O10" s="124">
        <v>0</v>
      </c>
      <c r="P10" s="124">
        <v>0</v>
      </c>
      <c r="Q10" s="124">
        <v>52256.431098591551</v>
      </c>
      <c r="R10" s="124">
        <v>58590.543959026894</v>
      </c>
      <c r="S10" s="124">
        <v>64924.65681946223</v>
      </c>
      <c r="T10" s="124">
        <v>71258.769679897567</v>
      </c>
      <c r="U10" s="124">
        <v>77592.88254033291</v>
      </c>
      <c r="V10" s="124">
        <v>83926.995400768254</v>
      </c>
      <c r="W10" s="124">
        <v>90261.108261203597</v>
      </c>
      <c r="X10" s="124">
        <v>96595.221121638926</v>
      </c>
      <c r="Y10" s="124">
        <v>102929.33398207427</v>
      </c>
      <c r="Z10" s="124">
        <v>109263.44684250961</v>
      </c>
      <c r="AA10" s="124">
        <v>112430.50327272728</v>
      </c>
      <c r="AB10" s="124">
        <v>112430.50327272728</v>
      </c>
      <c r="AC10" s="124">
        <v>112430.50327272728</v>
      </c>
      <c r="AD10" s="124">
        <v>112430.50327272728</v>
      </c>
      <c r="AE10" s="124">
        <v>112430.50327272728</v>
      </c>
      <c r="AF10" s="124">
        <v>112430.50327272728</v>
      </c>
      <c r="AG10" s="124">
        <v>112430.50327272728</v>
      </c>
      <c r="AH10" s="124">
        <v>112430.50327272728</v>
      </c>
      <c r="AI10" s="124">
        <v>112430.50327272728</v>
      </c>
      <c r="AJ10" s="124">
        <v>112430.50327272728</v>
      </c>
      <c r="AK10" s="124">
        <v>112430.50327272728</v>
      </c>
      <c r="AL10" s="124">
        <v>112430.50327272728</v>
      </c>
      <c r="AM10" s="124">
        <v>112430.50327272728</v>
      </c>
      <c r="AN10" s="124">
        <v>112430.50327272728</v>
      </c>
      <c r="AO10" s="124">
        <v>0</v>
      </c>
      <c r="AP10" s="124">
        <v>0</v>
      </c>
      <c r="AQ10" s="124">
        <v>0</v>
      </c>
      <c r="AR10" s="124">
        <v>0</v>
      </c>
      <c r="AS10" s="124">
        <v>0</v>
      </c>
      <c r="AT10" s="124">
        <v>0</v>
      </c>
      <c r="AU10" s="125">
        <v>0</v>
      </c>
    </row>
    <row r="11" spans="2:47" x14ac:dyDescent="0.3">
      <c r="B11" s="120"/>
      <c r="C11" s="121" t="s">
        <v>106</v>
      </c>
      <c r="D11" s="122">
        <v>91844.636476312298</v>
      </c>
      <c r="E11" s="116"/>
      <c r="F11" s="123">
        <v>0</v>
      </c>
      <c r="G11" s="124">
        <v>0</v>
      </c>
      <c r="H11" s="124">
        <v>0</v>
      </c>
      <c r="I11" s="124">
        <v>0</v>
      </c>
      <c r="J11" s="124">
        <v>0</v>
      </c>
      <c r="K11" s="124">
        <v>0</v>
      </c>
      <c r="L11" s="124">
        <v>0</v>
      </c>
      <c r="M11" s="124">
        <v>0</v>
      </c>
      <c r="N11" s="124">
        <v>0</v>
      </c>
      <c r="O11" s="124">
        <v>0</v>
      </c>
      <c r="P11" s="124">
        <v>0</v>
      </c>
      <c r="Q11" s="124">
        <v>0</v>
      </c>
      <c r="R11" s="124">
        <v>0</v>
      </c>
      <c r="S11" s="124">
        <v>0</v>
      </c>
      <c r="T11" s="124">
        <v>0</v>
      </c>
      <c r="U11" s="124">
        <v>0</v>
      </c>
      <c r="V11" s="124">
        <v>0</v>
      </c>
      <c r="W11" s="124">
        <v>0</v>
      </c>
      <c r="X11" s="124">
        <v>0</v>
      </c>
      <c r="Y11" s="124">
        <v>0</v>
      </c>
      <c r="Z11" s="124">
        <v>0</v>
      </c>
      <c r="AA11" s="124">
        <v>0</v>
      </c>
      <c r="AB11" s="124">
        <v>0</v>
      </c>
      <c r="AC11" s="124">
        <v>0</v>
      </c>
      <c r="AD11" s="124">
        <v>0</v>
      </c>
      <c r="AE11" s="124">
        <v>0</v>
      </c>
      <c r="AF11" s="124">
        <v>0</v>
      </c>
      <c r="AG11" s="124">
        <v>0</v>
      </c>
      <c r="AH11" s="124">
        <v>0</v>
      </c>
      <c r="AI11" s="124">
        <v>0</v>
      </c>
      <c r="AJ11" s="124">
        <v>0</v>
      </c>
      <c r="AK11" s="124">
        <v>0</v>
      </c>
      <c r="AL11" s="124">
        <v>0</v>
      </c>
      <c r="AM11" s="124">
        <v>0</v>
      </c>
      <c r="AN11" s="124">
        <v>91844.636476312298</v>
      </c>
      <c r="AO11" s="124">
        <v>0</v>
      </c>
      <c r="AP11" s="124">
        <v>0</v>
      </c>
      <c r="AQ11" s="124">
        <v>0</v>
      </c>
      <c r="AR11" s="124">
        <v>0</v>
      </c>
      <c r="AS11" s="124">
        <v>0</v>
      </c>
      <c r="AT11" s="124">
        <v>0</v>
      </c>
      <c r="AU11" s="125">
        <v>0</v>
      </c>
    </row>
    <row r="12" spans="2:47" x14ac:dyDescent="0.3">
      <c r="B12" s="126"/>
      <c r="C12" s="127" t="s">
        <v>117</v>
      </c>
      <c r="D12" s="128">
        <v>12367355.359999999</v>
      </c>
      <c r="E12" s="116"/>
      <c r="F12" s="129">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0</v>
      </c>
      <c r="AC12" s="130">
        <v>0</v>
      </c>
      <c r="AD12" s="130">
        <v>0</v>
      </c>
      <c r="AE12" s="130">
        <v>0</v>
      </c>
      <c r="AF12" s="130">
        <v>0</v>
      </c>
      <c r="AG12" s="130">
        <v>0</v>
      </c>
      <c r="AH12" s="130">
        <v>0</v>
      </c>
      <c r="AI12" s="130">
        <v>0</v>
      </c>
      <c r="AJ12" s="130">
        <v>0</v>
      </c>
      <c r="AK12" s="130">
        <v>0</v>
      </c>
      <c r="AL12" s="130">
        <v>0</v>
      </c>
      <c r="AM12" s="130">
        <v>0</v>
      </c>
      <c r="AN12" s="130">
        <v>12367355.360000001</v>
      </c>
      <c r="AO12" s="130">
        <v>0</v>
      </c>
      <c r="AP12" s="130">
        <v>0</v>
      </c>
      <c r="AQ12" s="130">
        <v>0</v>
      </c>
      <c r="AR12" s="130">
        <v>0</v>
      </c>
      <c r="AS12" s="130"/>
      <c r="AT12" s="130"/>
      <c r="AU12" s="131">
        <v>0</v>
      </c>
    </row>
    <row r="15" spans="2:47" x14ac:dyDescent="0.3">
      <c r="D15" s="106" t="s">
        <v>103</v>
      </c>
      <c r="E15" s="107"/>
      <c r="F15" s="106">
        <f>F6</f>
        <v>45536</v>
      </c>
      <c r="G15" s="106">
        <f t="shared" ref="G15:AU15" si="1">G6</f>
        <v>45566</v>
      </c>
      <c r="H15" s="106">
        <f t="shared" si="1"/>
        <v>45597</v>
      </c>
      <c r="I15" s="106">
        <f t="shared" si="1"/>
        <v>45627</v>
      </c>
      <c r="J15" s="106">
        <f t="shared" si="1"/>
        <v>45658</v>
      </c>
      <c r="K15" s="106">
        <f t="shared" si="1"/>
        <v>45689</v>
      </c>
      <c r="L15" s="106">
        <f t="shared" si="1"/>
        <v>45717</v>
      </c>
      <c r="M15" s="106">
        <f t="shared" si="1"/>
        <v>45748</v>
      </c>
      <c r="N15" s="106">
        <f t="shared" si="1"/>
        <v>45778</v>
      </c>
      <c r="O15" s="106">
        <f t="shared" si="1"/>
        <v>45809</v>
      </c>
      <c r="P15" s="106">
        <f t="shared" si="1"/>
        <v>45839</v>
      </c>
      <c r="Q15" s="106">
        <f t="shared" si="1"/>
        <v>45870</v>
      </c>
      <c r="R15" s="106">
        <f t="shared" si="1"/>
        <v>45901</v>
      </c>
      <c r="S15" s="106">
        <f t="shared" si="1"/>
        <v>45931</v>
      </c>
      <c r="T15" s="106">
        <f t="shared" si="1"/>
        <v>45962</v>
      </c>
      <c r="U15" s="106">
        <f t="shared" si="1"/>
        <v>45992</v>
      </c>
      <c r="V15" s="106">
        <f t="shared" si="1"/>
        <v>46023</v>
      </c>
      <c r="W15" s="106">
        <f t="shared" si="1"/>
        <v>46054</v>
      </c>
      <c r="X15" s="106">
        <f t="shared" si="1"/>
        <v>46082</v>
      </c>
      <c r="Y15" s="106">
        <f t="shared" si="1"/>
        <v>46113</v>
      </c>
      <c r="Z15" s="106">
        <f t="shared" si="1"/>
        <v>46143</v>
      </c>
      <c r="AA15" s="106">
        <f t="shared" si="1"/>
        <v>46174</v>
      </c>
      <c r="AB15" s="106">
        <f t="shared" si="1"/>
        <v>46204</v>
      </c>
      <c r="AC15" s="106">
        <f t="shared" si="1"/>
        <v>46235</v>
      </c>
      <c r="AD15" s="106">
        <f t="shared" si="1"/>
        <v>46266</v>
      </c>
      <c r="AE15" s="106">
        <f t="shared" si="1"/>
        <v>46296</v>
      </c>
      <c r="AF15" s="106">
        <f t="shared" si="1"/>
        <v>46327</v>
      </c>
      <c r="AG15" s="106">
        <f t="shared" si="1"/>
        <v>46357</v>
      </c>
      <c r="AH15" s="106">
        <f t="shared" si="1"/>
        <v>46388</v>
      </c>
      <c r="AI15" s="106">
        <f t="shared" si="1"/>
        <v>46419</v>
      </c>
      <c r="AJ15" s="106">
        <f t="shared" si="1"/>
        <v>46447</v>
      </c>
      <c r="AK15" s="106">
        <f t="shared" si="1"/>
        <v>46478</v>
      </c>
      <c r="AL15" s="106">
        <f t="shared" si="1"/>
        <v>46508</v>
      </c>
      <c r="AM15" s="106">
        <f t="shared" si="1"/>
        <v>46539</v>
      </c>
      <c r="AN15" s="106">
        <f t="shared" si="1"/>
        <v>46569</v>
      </c>
      <c r="AO15" s="106">
        <f t="shared" si="1"/>
        <v>46600</v>
      </c>
      <c r="AP15" s="106">
        <f t="shared" si="1"/>
        <v>46631</v>
      </c>
      <c r="AQ15" s="106">
        <f t="shared" si="1"/>
        <v>46661</v>
      </c>
      <c r="AR15" s="106">
        <f t="shared" si="1"/>
        <v>46692</v>
      </c>
      <c r="AS15" s="106">
        <f t="shared" si="1"/>
        <v>46722</v>
      </c>
      <c r="AT15" s="106">
        <f t="shared" si="1"/>
        <v>46753</v>
      </c>
      <c r="AU15" s="106">
        <f t="shared" si="1"/>
        <v>46784</v>
      </c>
    </row>
    <row r="16" spans="2:47" x14ac:dyDescent="0.3">
      <c r="B16" s="132" t="s">
        <v>24</v>
      </c>
      <c r="C16" s="133"/>
      <c r="D16" s="134">
        <f>SUM(D17:D26)</f>
        <v>13598988.143965274</v>
      </c>
      <c r="E16" s="111"/>
      <c r="F16" s="110">
        <f>SUM(F17:F26)</f>
        <v>1180381.2358299999</v>
      </c>
      <c r="G16" s="110">
        <f t="shared" ref="G16:AU16" si="2">SUM(G17:G26)</f>
        <v>810.71327350000001</v>
      </c>
      <c r="H16" s="110">
        <f t="shared" si="2"/>
        <v>6600</v>
      </c>
      <c r="I16" s="110">
        <f t="shared" si="2"/>
        <v>6645.833333333333</v>
      </c>
      <c r="J16" s="110">
        <f t="shared" si="2"/>
        <v>6668.75</v>
      </c>
      <c r="K16" s="110">
        <f t="shared" si="2"/>
        <v>144484.524</v>
      </c>
      <c r="L16" s="110">
        <f t="shared" si="2"/>
        <v>0</v>
      </c>
      <c r="M16" s="110">
        <f t="shared" si="2"/>
        <v>13539</v>
      </c>
      <c r="N16" s="110">
        <f t="shared" si="2"/>
        <v>100000</v>
      </c>
      <c r="O16" s="110">
        <f t="shared" si="2"/>
        <v>0</v>
      </c>
      <c r="P16" s="110">
        <f t="shared" si="2"/>
        <v>396783.4764171759</v>
      </c>
      <c r="Q16" s="110">
        <f t="shared" si="2"/>
        <v>151942.85373779648</v>
      </c>
      <c r="R16" s="110">
        <f t="shared" si="2"/>
        <v>279055.81757407886</v>
      </c>
      <c r="S16" s="110">
        <f t="shared" si="2"/>
        <v>422479.90355573205</v>
      </c>
      <c r="T16" s="110">
        <f t="shared" si="2"/>
        <v>424062.64548539917</v>
      </c>
      <c r="U16" s="110">
        <f t="shared" si="2"/>
        <v>598848.79576069035</v>
      </c>
      <c r="V16" s="110">
        <f t="shared" si="2"/>
        <v>614711.55377731204</v>
      </c>
      <c r="W16" s="110">
        <f t="shared" si="2"/>
        <v>776784.52068243269</v>
      </c>
      <c r="X16" s="110">
        <f t="shared" si="2"/>
        <v>779875.21478600882</v>
      </c>
      <c r="Y16" s="110">
        <f t="shared" si="2"/>
        <v>696364.20471677324</v>
      </c>
      <c r="Z16" s="110">
        <f t="shared" si="2"/>
        <v>525874.50243124797</v>
      </c>
      <c r="AA16" s="110">
        <f t="shared" si="2"/>
        <v>441232.52823158039</v>
      </c>
      <c r="AB16" s="110">
        <f t="shared" si="2"/>
        <v>442815.27016124746</v>
      </c>
      <c r="AC16" s="110">
        <f t="shared" si="2"/>
        <v>444398.01209091459</v>
      </c>
      <c r="AD16" s="110">
        <f t="shared" si="2"/>
        <v>445980.75402058172</v>
      </c>
      <c r="AE16" s="110">
        <f t="shared" si="2"/>
        <v>447563.49595024885</v>
      </c>
      <c r="AF16" s="110">
        <f t="shared" si="2"/>
        <v>449146.23787991598</v>
      </c>
      <c r="AG16" s="110">
        <f t="shared" si="2"/>
        <v>450728.97980958305</v>
      </c>
      <c r="AH16" s="110">
        <f t="shared" si="2"/>
        <v>465528.9416325835</v>
      </c>
      <c r="AI16" s="112">
        <f t="shared" si="2"/>
        <v>367041.47559978685</v>
      </c>
      <c r="AJ16" s="110">
        <f t="shared" si="2"/>
        <v>345057.09385344986</v>
      </c>
      <c r="AK16" s="110">
        <f t="shared" si="2"/>
        <v>346261.50340711285</v>
      </c>
      <c r="AL16" s="112">
        <f t="shared" si="2"/>
        <v>347465.9129607759</v>
      </c>
      <c r="AM16" s="110">
        <f t="shared" si="2"/>
        <v>436420.32251443894</v>
      </c>
      <c r="AN16" s="110">
        <f t="shared" si="2"/>
        <v>267155.01461403992</v>
      </c>
      <c r="AO16" s="110">
        <f t="shared" si="2"/>
        <v>122153.34791752489</v>
      </c>
      <c r="AP16" s="110">
        <f t="shared" si="2"/>
        <v>45325.907091095629</v>
      </c>
      <c r="AQ16" s="110">
        <f t="shared" si="2"/>
        <v>117036.52451923076</v>
      </c>
      <c r="AR16" s="110">
        <f t="shared" si="2"/>
        <v>35964.612684000007</v>
      </c>
      <c r="AS16" s="110">
        <f t="shared" si="2"/>
        <v>0</v>
      </c>
      <c r="AT16" s="110">
        <f t="shared" si="2"/>
        <v>0</v>
      </c>
      <c r="AU16" s="110">
        <f t="shared" si="2"/>
        <v>455798.44301480014</v>
      </c>
    </row>
    <row r="17" spans="2:47" x14ac:dyDescent="0.3">
      <c r="B17" s="135"/>
      <c r="C17" s="136" t="s">
        <v>118</v>
      </c>
      <c r="D17" s="137">
        <v>1122000.2206508794</v>
      </c>
      <c r="E17" s="116"/>
      <c r="F17" s="117">
        <v>1122000</v>
      </c>
      <c r="G17" s="118">
        <v>0</v>
      </c>
      <c r="H17" s="118">
        <v>0</v>
      </c>
      <c r="I17" s="118">
        <v>0</v>
      </c>
      <c r="J17" s="118">
        <v>0</v>
      </c>
      <c r="K17" s="118">
        <v>0</v>
      </c>
      <c r="L17" s="118">
        <v>0</v>
      </c>
      <c r="M17" s="118">
        <v>0</v>
      </c>
      <c r="N17" s="118">
        <v>0</v>
      </c>
      <c r="O17" s="118">
        <v>0</v>
      </c>
      <c r="P17" s="118">
        <v>0</v>
      </c>
      <c r="Q17" s="118">
        <v>0</v>
      </c>
      <c r="R17" s="118">
        <v>0</v>
      </c>
      <c r="S17" s="118">
        <v>0</v>
      </c>
      <c r="T17" s="118">
        <v>0</v>
      </c>
      <c r="U17" s="118">
        <v>0</v>
      </c>
      <c r="V17" s="118">
        <v>0</v>
      </c>
      <c r="W17" s="118">
        <v>0</v>
      </c>
      <c r="X17" s="118">
        <v>0</v>
      </c>
      <c r="Y17" s="118">
        <v>0</v>
      </c>
      <c r="Z17" s="118">
        <v>0</v>
      </c>
      <c r="AA17" s="118">
        <v>0</v>
      </c>
      <c r="AB17" s="118">
        <v>0</v>
      </c>
      <c r="AC17" s="118">
        <v>0</v>
      </c>
      <c r="AD17" s="118">
        <v>0</v>
      </c>
      <c r="AE17" s="118">
        <v>0</v>
      </c>
      <c r="AF17" s="118">
        <v>0</v>
      </c>
      <c r="AG17" s="118">
        <v>0</v>
      </c>
      <c r="AH17" s="118">
        <v>0</v>
      </c>
      <c r="AI17" s="118">
        <v>0</v>
      </c>
      <c r="AJ17" s="118">
        <v>0</v>
      </c>
      <c r="AK17" s="118">
        <v>0</v>
      </c>
      <c r="AL17" s="118">
        <v>0</v>
      </c>
      <c r="AM17" s="118">
        <v>0</v>
      </c>
      <c r="AN17" s="118">
        <v>0</v>
      </c>
      <c r="AO17" s="118">
        <v>0</v>
      </c>
      <c r="AP17" s="118">
        <v>0</v>
      </c>
      <c r="AQ17" s="118">
        <v>0</v>
      </c>
      <c r="AR17" s="118">
        <v>0</v>
      </c>
      <c r="AS17" s="118">
        <v>0</v>
      </c>
      <c r="AT17" s="118">
        <v>0</v>
      </c>
      <c r="AU17" s="119">
        <v>0</v>
      </c>
    </row>
    <row r="18" spans="2:47" x14ac:dyDescent="0.3">
      <c r="B18" s="120"/>
      <c r="C18" s="138" t="s">
        <v>119</v>
      </c>
      <c r="D18" s="125">
        <v>9261384.8602960017</v>
      </c>
      <c r="E18" s="116"/>
      <c r="F18" s="123">
        <v>57666</v>
      </c>
      <c r="G18" s="124">
        <v>0</v>
      </c>
      <c r="H18" s="124">
        <v>0</v>
      </c>
      <c r="I18" s="124">
        <v>0</v>
      </c>
      <c r="J18" s="124">
        <v>0</v>
      </c>
      <c r="K18" s="124">
        <v>0</v>
      </c>
      <c r="L18" s="124">
        <v>0</v>
      </c>
      <c r="M18" s="124">
        <v>0</v>
      </c>
      <c r="N18" s="124">
        <v>0</v>
      </c>
      <c r="O18" s="124">
        <v>0</v>
      </c>
      <c r="P18" s="124">
        <v>0</v>
      </c>
      <c r="Q18" s="124">
        <v>86601.704172811995</v>
      </c>
      <c r="R18" s="124">
        <v>173203.40834562399</v>
      </c>
      <c r="S18" s="124">
        <v>346406.81669124798</v>
      </c>
      <c r="T18" s="124">
        <v>346406.81669124798</v>
      </c>
      <c r="U18" s="124">
        <v>519610.22503687203</v>
      </c>
      <c r="V18" s="124">
        <v>519610.22503687203</v>
      </c>
      <c r="W18" s="124">
        <v>692813.63338249596</v>
      </c>
      <c r="X18" s="124">
        <v>692813.63338249596</v>
      </c>
      <c r="Y18" s="124">
        <v>606211.92920968414</v>
      </c>
      <c r="Z18" s="124">
        <v>433008.52086405997</v>
      </c>
      <c r="AA18" s="124">
        <v>346406.81669124798</v>
      </c>
      <c r="AB18" s="124">
        <v>346406.81669124798</v>
      </c>
      <c r="AC18" s="124">
        <v>346406.81669124798</v>
      </c>
      <c r="AD18" s="124">
        <v>346406.81669124798</v>
      </c>
      <c r="AE18" s="124">
        <v>346406.81669124798</v>
      </c>
      <c r="AF18" s="124">
        <v>346406.81669124798</v>
      </c>
      <c r="AG18" s="124">
        <v>346406.81669124798</v>
      </c>
      <c r="AH18" s="124">
        <v>346406.81669124798</v>
      </c>
      <c r="AI18" s="124">
        <v>259805.11251843601</v>
      </c>
      <c r="AJ18" s="124">
        <v>259805.11251843601</v>
      </c>
      <c r="AK18" s="124">
        <v>259805.11251843601</v>
      </c>
      <c r="AL18" s="124">
        <v>259805.11251843601</v>
      </c>
      <c r="AM18" s="124">
        <v>347555.11251843604</v>
      </c>
      <c r="AN18" s="124">
        <v>173203.40834562399</v>
      </c>
      <c r="AO18" s="124">
        <v>0</v>
      </c>
      <c r="AP18" s="124">
        <v>0</v>
      </c>
      <c r="AQ18" s="124">
        <v>0</v>
      </c>
      <c r="AR18" s="124">
        <v>0</v>
      </c>
      <c r="AS18" s="124">
        <v>0</v>
      </c>
      <c r="AT18" s="124">
        <v>0</v>
      </c>
      <c r="AU18" s="125">
        <v>455798.44301480014</v>
      </c>
    </row>
    <row r="19" spans="2:47" x14ac:dyDescent="0.3">
      <c r="B19" s="120"/>
      <c r="C19" s="138" t="s">
        <v>120</v>
      </c>
      <c r="D19" s="125">
        <v>450223.34793127998</v>
      </c>
      <c r="E19" s="116"/>
      <c r="F19" s="123">
        <v>0</v>
      </c>
      <c r="G19" s="124">
        <v>0</v>
      </c>
      <c r="H19" s="124">
        <v>0</v>
      </c>
      <c r="I19" s="124">
        <v>0</v>
      </c>
      <c r="J19" s="124">
        <v>0</v>
      </c>
      <c r="K19" s="124">
        <v>75000</v>
      </c>
      <c r="L19" s="124">
        <v>0</v>
      </c>
      <c r="M19" s="124">
        <v>13539</v>
      </c>
      <c r="N19" s="124">
        <v>100000</v>
      </c>
      <c r="O19" s="124">
        <v>0</v>
      </c>
      <c r="P19" s="124">
        <v>8646.9629866666655</v>
      </c>
      <c r="Q19" s="124">
        <v>308.82010666666673</v>
      </c>
      <c r="R19" s="124">
        <v>30985.927152316668</v>
      </c>
      <c r="S19" s="124">
        <v>9748.399936476666</v>
      </c>
      <c r="T19" s="124">
        <v>9748.399936476666</v>
      </c>
      <c r="U19" s="124">
        <v>9748.399936476666</v>
      </c>
      <c r="V19" s="124">
        <v>9748.399936476666</v>
      </c>
      <c r="W19" s="124">
        <v>9748.399936476666</v>
      </c>
      <c r="X19" s="124">
        <v>9748.399936476666</v>
      </c>
      <c r="Y19" s="124">
        <v>9748.399936476666</v>
      </c>
      <c r="Z19" s="124">
        <v>9748.399936476666</v>
      </c>
      <c r="AA19" s="124">
        <v>9748.399936476666</v>
      </c>
      <c r="AB19" s="124">
        <v>9748.399936476666</v>
      </c>
      <c r="AC19" s="124">
        <v>9748.399936476666</v>
      </c>
      <c r="AD19" s="124">
        <v>9748.399936476666</v>
      </c>
      <c r="AE19" s="124">
        <v>9748.399936476666</v>
      </c>
      <c r="AF19" s="124">
        <v>9748.399936476666</v>
      </c>
      <c r="AG19" s="124">
        <v>9748.399936476666</v>
      </c>
      <c r="AH19" s="124">
        <v>9439.5798298099999</v>
      </c>
      <c r="AI19" s="124">
        <v>9439.5798298099999</v>
      </c>
      <c r="AJ19" s="124">
        <v>9439.5798298099999</v>
      </c>
      <c r="AK19" s="124">
        <v>9439.5798298099999</v>
      </c>
      <c r="AL19" s="124">
        <v>9439.5798298099999</v>
      </c>
      <c r="AM19" s="124">
        <v>9439.5798298099999</v>
      </c>
      <c r="AN19" s="124">
        <v>9439.5798298099999</v>
      </c>
      <c r="AO19" s="124">
        <v>9439.5798298099999</v>
      </c>
      <c r="AP19" s="124">
        <v>0</v>
      </c>
      <c r="AQ19" s="124">
        <v>0</v>
      </c>
      <c r="AR19" s="124">
        <v>0</v>
      </c>
      <c r="AS19" s="124">
        <v>0</v>
      </c>
      <c r="AT19" s="124">
        <v>0</v>
      </c>
      <c r="AU19" s="125">
        <v>0</v>
      </c>
    </row>
    <row r="20" spans="2:47" x14ac:dyDescent="0.3">
      <c r="B20" s="120"/>
      <c r="C20" s="138" t="s">
        <v>121</v>
      </c>
      <c r="D20" s="125">
        <v>500637.76028400002</v>
      </c>
      <c r="E20" s="116"/>
      <c r="F20" s="123">
        <v>0</v>
      </c>
      <c r="G20" s="124">
        <v>0</v>
      </c>
      <c r="H20" s="124">
        <v>0</v>
      </c>
      <c r="I20" s="124">
        <v>0</v>
      </c>
      <c r="J20" s="124">
        <v>0</v>
      </c>
      <c r="K20" s="124">
        <v>69484.524000000005</v>
      </c>
      <c r="L20" s="124">
        <v>0</v>
      </c>
      <c r="M20" s="124">
        <v>0</v>
      </c>
      <c r="N20" s="124">
        <v>0</v>
      </c>
      <c r="O20" s="124">
        <v>0</v>
      </c>
      <c r="P20" s="124">
        <v>284001.54360000003</v>
      </c>
      <c r="Q20" s="124">
        <v>0</v>
      </c>
      <c r="R20" s="124">
        <v>0</v>
      </c>
      <c r="S20" s="124">
        <v>0</v>
      </c>
      <c r="T20" s="124">
        <v>0</v>
      </c>
      <c r="U20" s="124">
        <v>0</v>
      </c>
      <c r="V20" s="124">
        <v>13526.04</v>
      </c>
      <c r="W20" s="124">
        <v>0</v>
      </c>
      <c r="X20" s="124">
        <v>0</v>
      </c>
      <c r="Y20" s="124">
        <v>0</v>
      </c>
      <c r="Z20" s="124">
        <v>0</v>
      </c>
      <c r="AA20" s="124">
        <v>0</v>
      </c>
      <c r="AB20" s="124">
        <v>0</v>
      </c>
      <c r="AC20" s="124">
        <v>0</v>
      </c>
      <c r="AD20" s="124">
        <v>0</v>
      </c>
      <c r="AE20" s="124">
        <v>0</v>
      </c>
      <c r="AF20" s="124">
        <v>0</v>
      </c>
      <c r="AG20" s="124">
        <v>0</v>
      </c>
      <c r="AH20" s="124">
        <v>13526.04</v>
      </c>
      <c r="AI20" s="124">
        <v>0</v>
      </c>
      <c r="AJ20" s="124">
        <v>0</v>
      </c>
      <c r="AK20" s="124">
        <v>0</v>
      </c>
      <c r="AL20" s="124">
        <v>0</v>
      </c>
      <c r="AM20" s="124">
        <v>0</v>
      </c>
      <c r="AN20" s="124">
        <v>0</v>
      </c>
      <c r="AO20" s="124">
        <v>0</v>
      </c>
      <c r="AP20" s="124">
        <v>4260</v>
      </c>
      <c r="AQ20" s="124">
        <v>79875</v>
      </c>
      <c r="AR20" s="124">
        <v>35964.612684000007</v>
      </c>
      <c r="AS20" s="124">
        <v>0</v>
      </c>
      <c r="AT20" s="124">
        <v>0</v>
      </c>
      <c r="AU20" s="125">
        <v>0</v>
      </c>
    </row>
    <row r="21" spans="2:47" x14ac:dyDescent="0.3">
      <c r="B21" s="120"/>
      <c r="C21" s="138" t="s">
        <v>122</v>
      </c>
      <c r="D21" s="125">
        <v>728550.41166126856</v>
      </c>
      <c r="E21" s="116"/>
      <c r="F21" s="123">
        <v>0</v>
      </c>
      <c r="G21" s="124">
        <v>0</v>
      </c>
      <c r="H21" s="124">
        <v>6600</v>
      </c>
      <c r="I21" s="124">
        <v>6645.833333333333</v>
      </c>
      <c r="J21" s="124">
        <v>6668.75</v>
      </c>
      <c r="K21" s="124">
        <v>0</v>
      </c>
      <c r="L21" s="124">
        <v>0</v>
      </c>
      <c r="M21" s="124">
        <v>0</v>
      </c>
      <c r="N21" s="124">
        <v>0</v>
      </c>
      <c r="O21" s="124">
        <v>0</v>
      </c>
      <c r="P21" s="124">
        <v>56828.615639999996</v>
      </c>
      <c r="Q21" s="124">
        <v>4470.7611361928311</v>
      </c>
      <c r="R21" s="124">
        <v>5011.7818821713745</v>
      </c>
      <c r="S21" s="124">
        <v>5974.3711087766751</v>
      </c>
      <c r="T21" s="124">
        <v>7557.1130384437938</v>
      </c>
      <c r="U21" s="124">
        <v>9139.8549681109143</v>
      </c>
      <c r="V21" s="124">
        <v>11476.572984732575</v>
      </c>
      <c r="W21" s="124">
        <v>13872.171544229241</v>
      </c>
      <c r="X21" s="124">
        <v>16962.865647805447</v>
      </c>
      <c r="Y21" s="124">
        <v>20053.559751381654</v>
      </c>
      <c r="Z21" s="124">
        <v>22767.265811480593</v>
      </c>
      <c r="AA21" s="124">
        <v>24726.995784624982</v>
      </c>
      <c r="AB21" s="124">
        <v>26309.737714292103</v>
      </c>
      <c r="AC21" s="124">
        <v>27892.479643959221</v>
      </c>
      <c r="AD21" s="124">
        <v>29475.221573626335</v>
      </c>
      <c r="AE21" s="124">
        <v>31057.963503293453</v>
      </c>
      <c r="AF21" s="124">
        <v>32640.705432960574</v>
      </c>
      <c r="AG21" s="124">
        <v>34223.447362627689</v>
      </c>
      <c r="AH21" s="124">
        <v>35806.189292294803</v>
      </c>
      <c r="AI21" s="124">
        <v>37446.467432310092</v>
      </c>
      <c r="AJ21" s="124">
        <v>38650.876985973104</v>
      </c>
      <c r="AK21" s="124">
        <v>39855.286539636116</v>
      </c>
      <c r="AL21" s="124">
        <v>41059.696093299128</v>
      </c>
      <c r="AM21" s="124">
        <v>42264.105646962133</v>
      </c>
      <c r="AN21" s="124">
        <v>43850.50191937515</v>
      </c>
      <c r="AO21" s="124">
        <v>49261.219889375156</v>
      </c>
      <c r="AP21" s="124">
        <v>0</v>
      </c>
      <c r="AQ21" s="124">
        <v>0</v>
      </c>
      <c r="AR21" s="124">
        <v>0</v>
      </c>
      <c r="AS21" s="124">
        <v>0</v>
      </c>
      <c r="AT21" s="124">
        <v>0</v>
      </c>
      <c r="AU21" s="125">
        <v>0</v>
      </c>
    </row>
    <row r="22" spans="2:47" x14ac:dyDescent="0.3">
      <c r="B22" s="120"/>
      <c r="C22" s="138" t="s">
        <v>123</v>
      </c>
      <c r="D22" s="125">
        <v>463775.826</v>
      </c>
      <c r="E22" s="116"/>
      <c r="F22" s="123">
        <v>0</v>
      </c>
      <c r="G22" s="124">
        <v>0</v>
      </c>
      <c r="H22" s="124">
        <v>0</v>
      </c>
      <c r="I22" s="124">
        <v>0</v>
      </c>
      <c r="J22" s="124">
        <v>0</v>
      </c>
      <c r="K22" s="124">
        <v>0</v>
      </c>
      <c r="L22" s="124">
        <v>0</v>
      </c>
      <c r="M22" s="124">
        <v>0</v>
      </c>
      <c r="N22" s="124">
        <v>0</v>
      </c>
      <c r="O22" s="124">
        <v>0</v>
      </c>
      <c r="P22" s="124">
        <v>23188.791300000004</v>
      </c>
      <c r="Q22" s="124">
        <v>23188.791300000004</v>
      </c>
      <c r="R22" s="124">
        <v>23188.791300000004</v>
      </c>
      <c r="S22" s="124">
        <v>23188.791300000004</v>
      </c>
      <c r="T22" s="124">
        <v>23188.791300000004</v>
      </c>
      <c r="U22" s="124">
        <v>23188.791300000004</v>
      </c>
      <c r="V22" s="124">
        <v>23188.791300000004</v>
      </c>
      <c r="W22" s="124">
        <v>23188.791300000004</v>
      </c>
      <c r="X22" s="124">
        <v>23188.791300000004</v>
      </c>
      <c r="Y22" s="124">
        <v>23188.791300000004</v>
      </c>
      <c r="Z22" s="124">
        <v>23188.791300000004</v>
      </c>
      <c r="AA22" s="124">
        <v>23188.791300000004</v>
      </c>
      <c r="AB22" s="124">
        <v>23188.791300000004</v>
      </c>
      <c r="AC22" s="124">
        <v>23188.791300000004</v>
      </c>
      <c r="AD22" s="124">
        <v>23188.791300000004</v>
      </c>
      <c r="AE22" s="124">
        <v>23188.791300000004</v>
      </c>
      <c r="AF22" s="124">
        <v>23188.791300000004</v>
      </c>
      <c r="AG22" s="124">
        <v>23188.791300000004</v>
      </c>
      <c r="AH22" s="124">
        <v>23188.791300000004</v>
      </c>
      <c r="AI22" s="124">
        <v>23188.791300000004</v>
      </c>
      <c r="AJ22" s="124">
        <v>0</v>
      </c>
      <c r="AK22" s="124">
        <v>0</v>
      </c>
      <c r="AL22" s="124">
        <v>0</v>
      </c>
      <c r="AM22" s="124">
        <v>0</v>
      </c>
      <c r="AN22" s="124">
        <v>0</v>
      </c>
      <c r="AO22" s="124">
        <v>0</v>
      </c>
      <c r="AP22" s="124">
        <v>0</v>
      </c>
      <c r="AQ22" s="124">
        <v>0</v>
      </c>
      <c r="AR22" s="124">
        <v>0</v>
      </c>
      <c r="AS22" s="124">
        <v>0</v>
      </c>
      <c r="AT22" s="124">
        <v>0</v>
      </c>
      <c r="AU22" s="125">
        <v>0</v>
      </c>
    </row>
    <row r="23" spans="2:47" x14ac:dyDescent="0.3">
      <c r="B23" s="120"/>
      <c r="C23" s="138" t="s">
        <v>124</v>
      </c>
      <c r="D23" s="125">
        <v>68968.402888489858</v>
      </c>
      <c r="E23" s="116"/>
      <c r="F23" s="123">
        <v>715.23583000000008</v>
      </c>
      <c r="G23" s="124">
        <v>810.71327350000001</v>
      </c>
      <c r="H23" s="124">
        <v>0</v>
      </c>
      <c r="I23" s="124">
        <v>0</v>
      </c>
      <c r="J23" s="124">
        <v>0</v>
      </c>
      <c r="K23" s="124">
        <v>0</v>
      </c>
      <c r="L23" s="124">
        <v>0</v>
      </c>
      <c r="M23" s="124">
        <v>0</v>
      </c>
      <c r="N23" s="124">
        <v>0</v>
      </c>
      <c r="O23" s="124">
        <v>0</v>
      </c>
      <c r="P23" s="124">
        <v>16376.539226999999</v>
      </c>
      <c r="Q23" s="124">
        <v>37372.777022125003</v>
      </c>
      <c r="R23" s="124">
        <v>0</v>
      </c>
      <c r="S23" s="124">
        <v>0</v>
      </c>
      <c r="T23" s="124">
        <v>0</v>
      </c>
      <c r="U23" s="124">
        <v>0</v>
      </c>
      <c r="V23" s="124">
        <v>0</v>
      </c>
      <c r="W23" s="124">
        <v>0</v>
      </c>
      <c r="X23" s="124">
        <v>0</v>
      </c>
      <c r="Y23" s="124">
        <v>0</v>
      </c>
      <c r="Z23" s="124">
        <v>0</v>
      </c>
      <c r="AA23" s="124">
        <v>0</v>
      </c>
      <c r="AB23" s="124">
        <v>0</v>
      </c>
      <c r="AC23" s="124">
        <v>0</v>
      </c>
      <c r="AD23" s="124">
        <v>0</v>
      </c>
      <c r="AE23" s="124">
        <v>0</v>
      </c>
      <c r="AF23" s="124">
        <v>0</v>
      </c>
      <c r="AG23" s="124">
        <v>0</v>
      </c>
      <c r="AH23" s="124">
        <v>0</v>
      </c>
      <c r="AI23" s="124">
        <v>0</v>
      </c>
      <c r="AJ23" s="124">
        <v>0</v>
      </c>
      <c r="AK23" s="124">
        <v>0</v>
      </c>
      <c r="AL23" s="124">
        <v>0</v>
      </c>
      <c r="AM23" s="124">
        <v>0</v>
      </c>
      <c r="AN23" s="124">
        <v>3500</v>
      </c>
      <c r="AO23" s="124">
        <v>6288.7549639999997</v>
      </c>
      <c r="AP23" s="124">
        <v>3904.382571864865</v>
      </c>
      <c r="AQ23" s="124">
        <v>0</v>
      </c>
      <c r="AR23" s="124">
        <v>0</v>
      </c>
      <c r="AS23" s="124">
        <v>0</v>
      </c>
      <c r="AT23" s="124">
        <v>0</v>
      </c>
      <c r="AU23" s="125">
        <v>0</v>
      </c>
    </row>
    <row r="24" spans="2:47" x14ac:dyDescent="0.3">
      <c r="B24" s="120"/>
      <c r="C24" s="138" t="s">
        <v>21</v>
      </c>
      <c r="D24" s="125">
        <v>772959.71</v>
      </c>
      <c r="E24" s="116"/>
      <c r="F24" s="123">
        <v>0</v>
      </c>
      <c r="G24" s="124">
        <v>0</v>
      </c>
      <c r="H24" s="124">
        <v>0</v>
      </c>
      <c r="I24" s="124">
        <v>0</v>
      </c>
      <c r="J24" s="124">
        <v>0</v>
      </c>
      <c r="K24" s="124">
        <v>0</v>
      </c>
      <c r="L24" s="124">
        <v>0</v>
      </c>
      <c r="M24" s="124">
        <v>0</v>
      </c>
      <c r="N24" s="124">
        <v>0</v>
      </c>
      <c r="O24" s="124">
        <v>0</v>
      </c>
      <c r="P24" s="124">
        <v>0</v>
      </c>
      <c r="Q24" s="124">
        <v>0</v>
      </c>
      <c r="R24" s="124">
        <v>29729.219615384613</v>
      </c>
      <c r="S24" s="124">
        <v>29729.219615384613</v>
      </c>
      <c r="T24" s="124">
        <v>29729.219615384613</v>
      </c>
      <c r="U24" s="124">
        <v>29729.219615384613</v>
      </c>
      <c r="V24" s="124">
        <v>29729.219615384613</v>
      </c>
      <c r="W24" s="124">
        <v>29729.219615384613</v>
      </c>
      <c r="X24" s="124">
        <v>29729.219615384613</v>
      </c>
      <c r="Y24" s="124">
        <v>29729.219615384613</v>
      </c>
      <c r="Z24" s="124">
        <v>29729.219615384613</v>
      </c>
      <c r="AA24" s="124">
        <v>29729.219615384613</v>
      </c>
      <c r="AB24" s="124">
        <v>29729.219615384613</v>
      </c>
      <c r="AC24" s="124">
        <v>29729.219615384613</v>
      </c>
      <c r="AD24" s="124">
        <v>29729.219615384613</v>
      </c>
      <c r="AE24" s="124">
        <v>29729.219615384613</v>
      </c>
      <c r="AF24" s="124">
        <v>29729.219615384613</v>
      </c>
      <c r="AG24" s="124">
        <v>29729.219615384613</v>
      </c>
      <c r="AH24" s="124">
        <v>29729.219615384613</v>
      </c>
      <c r="AI24" s="124">
        <v>29729.219615384613</v>
      </c>
      <c r="AJ24" s="124">
        <v>29729.219615384613</v>
      </c>
      <c r="AK24" s="124">
        <v>29729.219615384613</v>
      </c>
      <c r="AL24" s="124">
        <v>29729.219615384613</v>
      </c>
      <c r="AM24" s="124">
        <v>29729.219615384613</v>
      </c>
      <c r="AN24" s="124">
        <v>29729.219615384613</v>
      </c>
      <c r="AO24" s="124">
        <v>29729.219615384613</v>
      </c>
      <c r="AP24" s="124">
        <v>29729.219615384613</v>
      </c>
      <c r="AQ24" s="124">
        <v>29729.219615384613</v>
      </c>
      <c r="AR24" s="124">
        <v>0</v>
      </c>
      <c r="AS24" s="124">
        <v>0</v>
      </c>
      <c r="AT24" s="124">
        <v>0</v>
      </c>
      <c r="AU24" s="125">
        <v>0</v>
      </c>
    </row>
    <row r="25" spans="2:47" x14ac:dyDescent="0.3">
      <c r="B25" s="120"/>
      <c r="C25" s="138" t="s">
        <v>125</v>
      </c>
      <c r="D25" s="125">
        <v>37247.676753354295</v>
      </c>
      <c r="E25" s="116"/>
      <c r="F25" s="123">
        <v>0</v>
      </c>
      <c r="G25" s="124">
        <v>0</v>
      </c>
      <c r="H25" s="124">
        <v>0</v>
      </c>
      <c r="I25" s="124">
        <v>0</v>
      </c>
      <c r="J25" s="124">
        <v>0</v>
      </c>
      <c r="K25" s="124">
        <v>0</v>
      </c>
      <c r="L25" s="124">
        <v>0</v>
      </c>
      <c r="M25" s="124">
        <v>0</v>
      </c>
      <c r="N25" s="124">
        <v>0</v>
      </c>
      <c r="O25" s="124">
        <v>0</v>
      </c>
      <c r="P25" s="124">
        <v>7741.0236635093133</v>
      </c>
      <c r="Q25" s="124">
        <v>0</v>
      </c>
      <c r="R25" s="124">
        <v>9504.3843747360006</v>
      </c>
      <c r="S25" s="124">
        <v>0</v>
      </c>
      <c r="T25" s="124">
        <v>0</v>
      </c>
      <c r="U25" s="124">
        <v>0</v>
      </c>
      <c r="V25" s="124">
        <v>0</v>
      </c>
      <c r="W25" s="124">
        <v>0</v>
      </c>
      <c r="X25" s="124">
        <v>0</v>
      </c>
      <c r="Y25" s="124">
        <v>0</v>
      </c>
      <c r="Z25" s="124">
        <v>0</v>
      </c>
      <c r="AA25" s="124">
        <v>0</v>
      </c>
      <c r="AB25" s="124">
        <v>0</v>
      </c>
      <c r="AC25" s="124">
        <v>0</v>
      </c>
      <c r="AD25" s="124">
        <v>0</v>
      </c>
      <c r="AE25" s="124">
        <v>0</v>
      </c>
      <c r="AF25" s="124">
        <v>0</v>
      </c>
      <c r="AG25" s="124">
        <v>0</v>
      </c>
      <c r="AH25" s="124">
        <v>0</v>
      </c>
      <c r="AI25" s="124">
        <v>0</v>
      </c>
      <c r="AJ25" s="124">
        <v>0</v>
      </c>
      <c r="AK25" s="124">
        <v>0</v>
      </c>
      <c r="AL25" s="124">
        <v>0</v>
      </c>
      <c r="AM25" s="124">
        <v>0</v>
      </c>
      <c r="AN25" s="124">
        <v>0</v>
      </c>
      <c r="AO25" s="124">
        <v>20002.268715108981</v>
      </c>
      <c r="AP25" s="124">
        <v>0</v>
      </c>
      <c r="AQ25" s="124">
        <v>0</v>
      </c>
      <c r="AR25" s="124">
        <v>0</v>
      </c>
      <c r="AS25" s="124">
        <v>0</v>
      </c>
      <c r="AT25" s="124">
        <v>0</v>
      </c>
      <c r="AU25" s="125">
        <v>0</v>
      </c>
    </row>
    <row r="26" spans="2:47" x14ac:dyDescent="0.3">
      <c r="B26" s="126"/>
      <c r="C26" s="139" t="s">
        <v>126</v>
      </c>
      <c r="D26" s="131">
        <v>193239.92749999999</v>
      </c>
      <c r="E26" s="140"/>
      <c r="F26" s="129">
        <v>0</v>
      </c>
      <c r="G26" s="130">
        <v>0</v>
      </c>
      <c r="H26" s="130">
        <v>0</v>
      </c>
      <c r="I26" s="130">
        <v>0</v>
      </c>
      <c r="J26" s="130">
        <v>0</v>
      </c>
      <c r="K26" s="130">
        <v>0</v>
      </c>
      <c r="L26" s="130">
        <v>0</v>
      </c>
      <c r="M26" s="130">
        <v>0</v>
      </c>
      <c r="N26" s="130">
        <v>0</v>
      </c>
      <c r="O26" s="130">
        <v>0</v>
      </c>
      <c r="P26" s="130">
        <v>0</v>
      </c>
      <c r="Q26" s="130">
        <v>0</v>
      </c>
      <c r="R26" s="130">
        <v>7432.3049038461531</v>
      </c>
      <c r="S26" s="130">
        <v>7432.3049038461531</v>
      </c>
      <c r="T26" s="130">
        <v>7432.3049038461531</v>
      </c>
      <c r="U26" s="130">
        <v>7432.3049038461531</v>
      </c>
      <c r="V26" s="130">
        <v>7432.3049038461531</v>
      </c>
      <c r="W26" s="130">
        <v>7432.3049038461531</v>
      </c>
      <c r="X26" s="130">
        <v>7432.3049038461531</v>
      </c>
      <c r="Y26" s="130">
        <v>7432.3049038461531</v>
      </c>
      <c r="Z26" s="130">
        <v>7432.3049038461531</v>
      </c>
      <c r="AA26" s="130">
        <v>7432.3049038461531</v>
      </c>
      <c r="AB26" s="130">
        <v>7432.3049038461531</v>
      </c>
      <c r="AC26" s="130">
        <v>7432.3049038461531</v>
      </c>
      <c r="AD26" s="130">
        <v>7432.3049038461531</v>
      </c>
      <c r="AE26" s="130">
        <v>7432.3049038461531</v>
      </c>
      <c r="AF26" s="130">
        <v>7432.3049038461531</v>
      </c>
      <c r="AG26" s="130">
        <v>7432.3049038461531</v>
      </c>
      <c r="AH26" s="130">
        <v>7432.3049038461531</v>
      </c>
      <c r="AI26" s="130">
        <v>7432.3049038461531</v>
      </c>
      <c r="AJ26" s="130">
        <v>7432.3049038461531</v>
      </c>
      <c r="AK26" s="130">
        <v>7432.3049038461531</v>
      </c>
      <c r="AL26" s="130">
        <v>7432.3049038461531</v>
      </c>
      <c r="AM26" s="130">
        <v>7432.3049038461531</v>
      </c>
      <c r="AN26" s="130">
        <v>7432.3049038461531</v>
      </c>
      <c r="AO26" s="130">
        <v>7432.3049038461531</v>
      </c>
      <c r="AP26" s="130">
        <v>7432.3049038461531</v>
      </c>
      <c r="AQ26" s="130">
        <v>7432.3049038461531</v>
      </c>
      <c r="AR26" s="130">
        <v>0</v>
      </c>
      <c r="AS26" s="130">
        <v>0</v>
      </c>
      <c r="AT26" s="130">
        <v>0</v>
      </c>
      <c r="AU26" s="131">
        <v>0</v>
      </c>
    </row>
    <row r="28" spans="2:47" x14ac:dyDescent="0.3">
      <c r="B28" s="141" t="s">
        <v>127</v>
      </c>
      <c r="C28" s="142"/>
      <c r="D28" s="119">
        <f>SUM(F28:AU28)</f>
        <v>559090.34366530355</v>
      </c>
      <c r="E28" s="143"/>
      <c r="F28" s="117">
        <v>235770.1995243</v>
      </c>
      <c r="G28" s="118">
        <v>170.249787435</v>
      </c>
      <c r="H28" s="118">
        <v>0</v>
      </c>
      <c r="I28" s="118">
        <v>0</v>
      </c>
      <c r="J28" s="118">
        <v>0</v>
      </c>
      <c r="K28" s="118">
        <v>15750</v>
      </c>
      <c r="L28" s="118">
        <v>0</v>
      </c>
      <c r="M28" s="118">
        <v>2843.1899999999996</v>
      </c>
      <c r="N28" s="118">
        <v>21000</v>
      </c>
      <c r="O28" s="118">
        <v>0</v>
      </c>
      <c r="P28" s="118">
        <v>2921.0802782000001</v>
      </c>
      <c r="Q28" s="118">
        <v>4461.5617844000008</v>
      </c>
      <c r="R28" s="118">
        <v>14310.964851024961</v>
      </c>
      <c r="S28" s="118">
        <v>9851.0841356985602</v>
      </c>
      <c r="T28" s="118">
        <v>9851.0841356985602</v>
      </c>
      <c r="U28" s="118">
        <v>9851.0841356985602</v>
      </c>
      <c r="V28" s="118">
        <v>9851.0841356985602</v>
      </c>
      <c r="W28" s="118">
        <v>9851.0841356985602</v>
      </c>
      <c r="X28" s="118">
        <v>9851.0841356985602</v>
      </c>
      <c r="Y28" s="118">
        <v>9851.0841356985602</v>
      </c>
      <c r="Z28" s="118">
        <v>9851.0841356985602</v>
      </c>
      <c r="AA28" s="118">
        <v>9851.0841356985602</v>
      </c>
      <c r="AB28" s="118">
        <v>9851.0841356985602</v>
      </c>
      <c r="AC28" s="118">
        <v>9851.0841356985602</v>
      </c>
      <c r="AD28" s="118">
        <v>9851.0841356985602</v>
      </c>
      <c r="AE28" s="118">
        <v>9851.0841356985602</v>
      </c>
      <c r="AF28" s="118">
        <v>9851.0841356985602</v>
      </c>
      <c r="AG28" s="118">
        <v>9851.0841356985602</v>
      </c>
      <c r="AH28" s="118">
        <v>9786.2319132985613</v>
      </c>
      <c r="AI28" s="118">
        <v>9786.2319132985613</v>
      </c>
      <c r="AJ28" s="118">
        <v>9786.2319132985613</v>
      </c>
      <c r="AK28" s="118">
        <v>9786.2319132985613</v>
      </c>
      <c r="AL28" s="118">
        <v>9786.2319132985613</v>
      </c>
      <c r="AM28" s="118">
        <v>28213.731913298558</v>
      </c>
      <c r="AN28" s="118">
        <v>10521.231913298561</v>
      </c>
      <c r="AO28" s="118">
        <v>10558.27171329856</v>
      </c>
      <c r="AP28" s="118">
        <v>8068.5201490384607</v>
      </c>
      <c r="AQ28" s="118">
        <v>7803.9201490384603</v>
      </c>
      <c r="AR28" s="118">
        <v>0</v>
      </c>
      <c r="AS28" s="118">
        <v>0</v>
      </c>
      <c r="AT28" s="118">
        <v>0</v>
      </c>
      <c r="AU28" s="119">
        <v>0</v>
      </c>
    </row>
    <row r="29" spans="2:47" x14ac:dyDescent="0.3">
      <c r="B29" s="144" t="s">
        <v>128</v>
      </c>
      <c r="C29" s="145"/>
      <c r="D29" s="125">
        <f>SUM(F29:AU29)</f>
        <v>2782654.9560000002</v>
      </c>
      <c r="E29" s="143"/>
      <c r="F29" s="123">
        <v>0</v>
      </c>
      <c r="G29" s="124">
        <v>0</v>
      </c>
      <c r="H29" s="124">
        <v>288.46153846153845</v>
      </c>
      <c r="I29" s="124">
        <v>1153.8461538461538</v>
      </c>
      <c r="J29" s="124">
        <v>1153.8461538461538</v>
      </c>
      <c r="K29" s="124">
        <v>1153.8461538461538</v>
      </c>
      <c r="L29" s="124">
        <v>1153.8461538461538</v>
      </c>
      <c r="M29" s="124">
        <v>1153.8461538461538</v>
      </c>
      <c r="N29" s="124">
        <v>1153.8461538461538</v>
      </c>
      <c r="O29" s="124">
        <v>1153.8461538461538</v>
      </c>
      <c r="P29" s="124">
        <v>18045.73656944745</v>
      </c>
      <c r="Q29" s="124">
        <v>8709.4051830985918</v>
      </c>
      <c r="R29" s="124">
        <v>9342.8164691421262</v>
      </c>
      <c r="S29" s="124">
        <v>9976.2277551856605</v>
      </c>
      <c r="T29" s="124">
        <v>10609.639041229193</v>
      </c>
      <c r="U29" s="124">
        <v>11243.050327272727</v>
      </c>
      <c r="V29" s="124">
        <v>11876.461613316264</v>
      </c>
      <c r="W29" s="124">
        <v>12509.872899359798</v>
      </c>
      <c r="X29" s="124">
        <v>13143.284185403329</v>
      </c>
      <c r="Y29" s="124">
        <v>13776.695471446863</v>
      </c>
      <c r="Z29" s="124">
        <v>13833.183680567321</v>
      </c>
      <c r="AA29" s="124">
        <v>12408.008286969371</v>
      </c>
      <c r="AB29" s="124">
        <v>11243.050327272729</v>
      </c>
      <c r="AC29" s="124">
        <v>11243.050327272729</v>
      </c>
      <c r="AD29" s="124">
        <v>11243.050327272729</v>
      </c>
      <c r="AE29" s="124">
        <v>11243.050327272729</v>
      </c>
      <c r="AF29" s="124">
        <v>11243.050327272729</v>
      </c>
      <c r="AG29" s="124">
        <v>11243.050327272729</v>
      </c>
      <c r="AH29" s="124">
        <v>11243.050327272729</v>
      </c>
      <c r="AI29" s="124">
        <v>11243.050327272729</v>
      </c>
      <c r="AJ29" s="124">
        <v>11243.050327272729</v>
      </c>
      <c r="AK29" s="124">
        <v>11243.050327272729</v>
      </c>
      <c r="AL29" s="124">
        <v>11243.050327272729</v>
      </c>
      <c r="AM29" s="124">
        <v>11243.050327272729</v>
      </c>
      <c r="AN29" s="124">
        <v>1257163.0499749039</v>
      </c>
      <c r="AO29" s="124">
        <v>0</v>
      </c>
      <c r="AP29" s="124">
        <v>0</v>
      </c>
      <c r="AQ29" s="124">
        <v>0</v>
      </c>
      <c r="AR29" s="124">
        <v>0</v>
      </c>
      <c r="AS29" s="124">
        <v>1236735.5360000001</v>
      </c>
      <c r="AT29" s="124"/>
      <c r="AU29" s="125">
        <v>0</v>
      </c>
    </row>
    <row r="30" spans="2:47" x14ac:dyDescent="0.3">
      <c r="B30" s="146" t="s">
        <v>129</v>
      </c>
      <c r="C30" s="147"/>
      <c r="D30" s="131">
        <f>SUM(F30:AU30)</f>
        <v>-2223564.6123346961</v>
      </c>
      <c r="E30" s="143"/>
      <c r="F30" s="129">
        <v>0</v>
      </c>
      <c r="G30" s="130">
        <v>0</v>
      </c>
      <c r="H30" s="130">
        <v>0</v>
      </c>
      <c r="I30" s="130">
        <v>-288.46153846153845</v>
      </c>
      <c r="J30" s="130">
        <v>234616.35337045384</v>
      </c>
      <c r="K30" s="130">
        <v>-983.59636641115378</v>
      </c>
      <c r="L30" s="130">
        <v>0</v>
      </c>
      <c r="M30" s="130">
        <v>-1153.8461538461538</v>
      </c>
      <c r="N30" s="130">
        <v>0</v>
      </c>
      <c r="O30" s="130">
        <v>14596.153846153846</v>
      </c>
      <c r="P30" s="130">
        <v>-1153.8461538461538</v>
      </c>
      <c r="Q30" s="130">
        <v>-13435.312445093605</v>
      </c>
      <c r="R30" s="130">
        <v>15598.310447455257</v>
      </c>
      <c r="S30" s="130">
        <v>0</v>
      </c>
      <c r="T30" s="130">
        <v>-125.1436194871003</v>
      </c>
      <c r="U30" s="130">
        <v>-758.55490553063282</v>
      </c>
      <c r="V30" s="130">
        <v>3576.1821903086675</v>
      </c>
      <c r="W30" s="130">
        <v>-2025.3774776177033</v>
      </c>
      <c r="X30" s="130">
        <v>-2658.7887636612377</v>
      </c>
      <c r="Y30" s="130">
        <v>-3292.2000497047684</v>
      </c>
      <c r="Z30" s="130">
        <v>-3925.6113357483027</v>
      </c>
      <c r="AA30" s="130">
        <v>-3982.0995448687609</v>
      </c>
      <c r="AB30" s="130">
        <v>-2556.9241512708104</v>
      </c>
      <c r="AC30" s="130">
        <v>-1391.966191574169</v>
      </c>
      <c r="AD30" s="130">
        <v>-1391.966191574169</v>
      </c>
      <c r="AE30" s="130">
        <v>-1391.966191574169</v>
      </c>
      <c r="AF30" s="130">
        <v>-1391.966191574169</v>
      </c>
      <c r="AG30" s="130">
        <v>-1391.966191574169</v>
      </c>
      <c r="AH30" s="130">
        <v>-1391.966191574169</v>
      </c>
      <c r="AI30" s="130">
        <v>-1456.8184139741679</v>
      </c>
      <c r="AJ30" s="130">
        <v>-1456.8184139741679</v>
      </c>
      <c r="AK30" s="130">
        <v>-1456.8184139741679</v>
      </c>
      <c r="AL30" s="130">
        <v>-1456.8184139741679</v>
      </c>
      <c r="AM30" s="130">
        <v>-1456.8184139741679</v>
      </c>
      <c r="AN30" s="130">
        <v>0</v>
      </c>
      <c r="AO30" s="130">
        <v>-1246641.8180616053</v>
      </c>
      <c r="AP30" s="130">
        <v>0</v>
      </c>
      <c r="AQ30" s="130">
        <v>16970.681586025828</v>
      </c>
      <c r="AR30" s="130">
        <v>0</v>
      </c>
      <c r="AS30" s="130">
        <v>10558.27171329856</v>
      </c>
      <c r="AT30" s="130">
        <v>-1228667.0158509617</v>
      </c>
      <c r="AU30" s="131">
        <v>7803.9201490384603</v>
      </c>
    </row>
    <row r="31" spans="2:47" x14ac:dyDescent="0.3">
      <c r="D31" s="116"/>
    </row>
    <row r="32" spans="2:47" x14ac:dyDescent="0.3">
      <c r="B32" s="141" t="s">
        <v>23</v>
      </c>
      <c r="C32" s="142"/>
      <c r="D32" s="119"/>
      <c r="E32" s="143"/>
      <c r="F32" s="141"/>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8"/>
    </row>
    <row r="33" spans="2:56" x14ac:dyDescent="0.3">
      <c r="B33" s="144"/>
      <c r="C33" s="145" t="s">
        <v>104</v>
      </c>
      <c r="D33" s="125">
        <f>SUM(F33:AU33)</f>
        <v>10553001.382714322</v>
      </c>
      <c r="E33" s="143"/>
      <c r="F33" s="123">
        <v>0</v>
      </c>
      <c r="G33" s="124">
        <v>0</v>
      </c>
      <c r="H33" s="124">
        <v>0</v>
      </c>
      <c r="I33" s="124">
        <v>0</v>
      </c>
      <c r="J33" s="124">
        <v>0</v>
      </c>
      <c r="K33" s="124">
        <v>0</v>
      </c>
      <c r="L33" s="124">
        <v>0</v>
      </c>
      <c r="M33" s="124">
        <v>0</v>
      </c>
      <c r="N33" s="124">
        <v>0</v>
      </c>
      <c r="O33" s="124">
        <v>0</v>
      </c>
      <c r="P33" s="124">
        <v>315182.23912979005</v>
      </c>
      <c r="Q33" s="124">
        <v>123661.88479509563</v>
      </c>
      <c r="R33" s="124">
        <v>220020.39465264021</v>
      </c>
      <c r="S33" s="124">
        <v>361769.58392391296</v>
      </c>
      <c r="T33" s="124">
        <v>361769.58392391296</v>
      </c>
      <c r="U33" s="124">
        <v>534106.97522780881</v>
      </c>
      <c r="V33" s="124">
        <v>547565.38502780884</v>
      </c>
      <c r="W33" s="124">
        <v>706444.36653170467</v>
      </c>
      <c r="X33" s="124">
        <v>706444.36653170455</v>
      </c>
      <c r="Y33" s="124">
        <v>620275.67087975692</v>
      </c>
      <c r="Z33" s="124">
        <v>447938.27957586088</v>
      </c>
      <c r="AA33" s="124">
        <v>361769.58392391296</v>
      </c>
      <c r="AB33" s="124">
        <v>361769.5839239129</v>
      </c>
      <c r="AC33" s="124">
        <v>361769.58392391296</v>
      </c>
      <c r="AD33" s="124">
        <v>361769.58392391296</v>
      </c>
      <c r="AE33" s="124">
        <v>361769.58392391296</v>
      </c>
      <c r="AF33" s="124">
        <v>361769.58392391296</v>
      </c>
      <c r="AG33" s="124">
        <v>361769.5839239129</v>
      </c>
      <c r="AH33" s="124">
        <v>374920.71771777963</v>
      </c>
      <c r="AI33" s="124">
        <v>275293.61226583173</v>
      </c>
      <c r="AJ33" s="124">
        <v>275293.61226583173</v>
      </c>
      <c r="AK33" s="124">
        <v>275293.61226583167</v>
      </c>
      <c r="AL33" s="124">
        <v>275293.61226583173</v>
      </c>
      <c r="AM33" s="124">
        <v>362604.86226583179</v>
      </c>
      <c r="AN33" s="124">
        <v>1236735.5359999998</v>
      </c>
      <c r="AO33" s="124">
        <v>0</v>
      </c>
      <c r="AP33" s="124">
        <v>0</v>
      </c>
      <c r="AQ33" s="124">
        <v>0</v>
      </c>
      <c r="AR33" s="124">
        <v>0</v>
      </c>
      <c r="AS33" s="124">
        <v>0</v>
      </c>
      <c r="AT33" s="124">
        <v>0</v>
      </c>
      <c r="AU33" s="125">
        <v>0</v>
      </c>
    </row>
    <row r="34" spans="2:56" x14ac:dyDescent="0.3">
      <c r="B34" s="146"/>
      <c r="C34" s="147" t="s">
        <v>130</v>
      </c>
      <c r="D34" s="131">
        <f>SUM(F34:AU34)</f>
        <v>-10553001.382714322</v>
      </c>
      <c r="E34" s="143"/>
      <c r="F34" s="129">
        <v>0</v>
      </c>
      <c r="G34" s="130">
        <v>0</v>
      </c>
      <c r="H34" s="130">
        <v>0</v>
      </c>
      <c r="I34" s="130">
        <v>0</v>
      </c>
      <c r="J34" s="130">
        <v>0</v>
      </c>
      <c r="K34" s="130">
        <v>0</v>
      </c>
      <c r="L34" s="130">
        <v>0</v>
      </c>
      <c r="M34" s="130">
        <v>0</v>
      </c>
      <c r="N34" s="130">
        <v>0</v>
      </c>
      <c r="O34" s="130">
        <v>0</v>
      </c>
      <c r="P34" s="130">
        <v>0</v>
      </c>
      <c r="Q34" s="130">
        <v>0</v>
      </c>
      <c r="R34" s="130">
        <v>0</v>
      </c>
      <c r="S34" s="130">
        <v>0</v>
      </c>
      <c r="T34" s="130">
        <v>0</v>
      </c>
      <c r="U34" s="130">
        <v>0</v>
      </c>
      <c r="V34" s="130">
        <v>0</v>
      </c>
      <c r="W34" s="130">
        <v>0</v>
      </c>
      <c r="X34" s="130">
        <v>0</v>
      </c>
      <c r="Y34" s="130">
        <v>0</v>
      </c>
      <c r="Z34" s="130">
        <v>0</v>
      </c>
      <c r="AA34" s="130">
        <v>0</v>
      </c>
      <c r="AB34" s="130">
        <v>0</v>
      </c>
      <c r="AC34" s="130">
        <v>0</v>
      </c>
      <c r="AD34" s="130">
        <v>0</v>
      </c>
      <c r="AE34" s="130">
        <v>0</v>
      </c>
      <c r="AF34" s="130">
        <v>0</v>
      </c>
      <c r="AG34" s="130">
        <v>0</v>
      </c>
      <c r="AH34" s="130">
        <v>0</v>
      </c>
      <c r="AI34" s="130">
        <v>0</v>
      </c>
      <c r="AJ34" s="130">
        <v>0</v>
      </c>
      <c r="AK34" s="130">
        <v>0</v>
      </c>
      <c r="AL34" s="130">
        <v>0</v>
      </c>
      <c r="AM34" s="130">
        <v>0</v>
      </c>
      <c r="AN34" s="130">
        <v>-10553001.382714322</v>
      </c>
      <c r="AO34" s="130">
        <v>0</v>
      </c>
      <c r="AP34" s="130">
        <v>0</v>
      </c>
      <c r="AQ34" s="130">
        <v>0</v>
      </c>
      <c r="AR34" s="130">
        <v>0</v>
      </c>
      <c r="AS34" s="130">
        <v>0</v>
      </c>
      <c r="AT34" s="130">
        <v>0</v>
      </c>
      <c r="AU34" s="131">
        <v>0</v>
      </c>
    </row>
    <row r="36" spans="2:56" x14ac:dyDescent="0.3">
      <c r="B36" s="141" t="s">
        <v>131</v>
      </c>
      <c r="C36" s="149"/>
      <c r="D36" s="114"/>
      <c r="E36" s="143"/>
      <c r="F36" s="117">
        <v>0</v>
      </c>
      <c r="G36" s="118">
        <v>0</v>
      </c>
      <c r="H36" s="118">
        <v>2884.6153846153843</v>
      </c>
      <c r="I36" s="118">
        <v>11538.461538461537</v>
      </c>
      <c r="J36" s="118">
        <v>11538.461538461537</v>
      </c>
      <c r="K36" s="118">
        <v>11538.461538461537</v>
      </c>
      <c r="L36" s="118">
        <v>11538.461538461537</v>
      </c>
      <c r="M36" s="118">
        <v>11538.461538461537</v>
      </c>
      <c r="N36" s="118">
        <v>11538.461538461537</v>
      </c>
      <c r="O36" s="118">
        <v>11538.461538461537</v>
      </c>
      <c r="P36" s="118">
        <v>180457.36569447452</v>
      </c>
      <c r="Q36" s="118">
        <v>87094.051830985904</v>
      </c>
      <c r="R36" s="118">
        <v>93428.164691421262</v>
      </c>
      <c r="S36" s="118">
        <v>99762.27755185659</v>
      </c>
      <c r="T36" s="118">
        <v>106096.39041229192</v>
      </c>
      <c r="U36" s="118">
        <v>112430.50327272728</v>
      </c>
      <c r="V36" s="118">
        <v>118764.61613316261</v>
      </c>
      <c r="W36" s="118">
        <v>125098.72899359796</v>
      </c>
      <c r="X36" s="118">
        <v>131432.84185403329</v>
      </c>
      <c r="Y36" s="118">
        <v>137766.95471446862</v>
      </c>
      <c r="Z36" s="118">
        <v>138331.8368056732</v>
      </c>
      <c r="AA36" s="118">
        <v>124080.0828696937</v>
      </c>
      <c r="AB36" s="118">
        <v>112430.50327272728</v>
      </c>
      <c r="AC36" s="118">
        <v>112430.50327272728</v>
      </c>
      <c r="AD36" s="118">
        <v>112430.50327272728</v>
      </c>
      <c r="AE36" s="118">
        <v>112430.50327272728</v>
      </c>
      <c r="AF36" s="118">
        <v>112430.50327272728</v>
      </c>
      <c r="AG36" s="118">
        <v>112430.50327272728</v>
      </c>
      <c r="AH36" s="118">
        <v>112430.50327272728</v>
      </c>
      <c r="AI36" s="118">
        <v>112430.50327272728</v>
      </c>
      <c r="AJ36" s="118">
        <v>112430.50327272728</v>
      </c>
      <c r="AK36" s="118">
        <v>112430.50327272728</v>
      </c>
      <c r="AL36" s="118">
        <v>112430.50327272728</v>
      </c>
      <c r="AM36" s="118">
        <v>112430.50327272728</v>
      </c>
      <c r="AN36" s="118">
        <v>-2887563.700250959</v>
      </c>
      <c r="AO36" s="118">
        <v>0</v>
      </c>
      <c r="AP36" s="118">
        <v>0</v>
      </c>
      <c r="AQ36" s="118">
        <v>0</v>
      </c>
      <c r="AR36" s="118">
        <v>0</v>
      </c>
      <c r="AS36" s="118"/>
      <c r="AT36" s="118"/>
      <c r="AU36" s="119"/>
    </row>
    <row r="37" spans="2:56" x14ac:dyDescent="0.3">
      <c r="B37" s="146" t="s">
        <v>132</v>
      </c>
      <c r="C37" s="150"/>
      <c r="D37" s="127"/>
      <c r="E37" s="143"/>
      <c r="F37" s="129"/>
      <c r="G37" s="130">
        <f>G36+F37</f>
        <v>0</v>
      </c>
      <c r="H37" s="130">
        <f t="shared" ref="H37:AR37" si="3">H36+G37</f>
        <v>2884.6153846153843</v>
      </c>
      <c r="I37" s="130">
        <f t="shared" si="3"/>
        <v>14423.076923076922</v>
      </c>
      <c r="J37" s="130">
        <f t="shared" si="3"/>
        <v>25961.538461538461</v>
      </c>
      <c r="K37" s="130">
        <f t="shared" si="3"/>
        <v>37500</v>
      </c>
      <c r="L37" s="130">
        <f t="shared" si="3"/>
        <v>49038.461538461539</v>
      </c>
      <c r="M37" s="130">
        <f t="shared" si="3"/>
        <v>60576.923076923078</v>
      </c>
      <c r="N37" s="130">
        <f t="shared" si="3"/>
        <v>72115.38461538461</v>
      </c>
      <c r="O37" s="130">
        <f t="shared" si="3"/>
        <v>83653.846153846142</v>
      </c>
      <c r="P37" s="130">
        <f t="shared" si="3"/>
        <v>264111.21184832067</v>
      </c>
      <c r="Q37" s="130">
        <f t="shared" si="3"/>
        <v>351205.2636793066</v>
      </c>
      <c r="R37" s="130">
        <f t="shared" si="3"/>
        <v>444633.42837072787</v>
      </c>
      <c r="S37" s="130">
        <f t="shared" si="3"/>
        <v>544395.70592258452</v>
      </c>
      <c r="T37" s="130">
        <f t="shared" si="3"/>
        <v>650492.09633487649</v>
      </c>
      <c r="U37" s="130">
        <f t="shared" si="3"/>
        <v>762922.59960760374</v>
      </c>
      <c r="V37" s="130">
        <f t="shared" si="3"/>
        <v>881687.21574076638</v>
      </c>
      <c r="W37" s="130">
        <f t="shared" si="3"/>
        <v>1006785.9447343643</v>
      </c>
      <c r="X37" s="130">
        <f t="shared" si="3"/>
        <v>1138218.7865883976</v>
      </c>
      <c r="Y37" s="130">
        <f t="shared" si="3"/>
        <v>1275985.7413028663</v>
      </c>
      <c r="Z37" s="130">
        <f t="shared" si="3"/>
        <v>1414317.5781085393</v>
      </c>
      <c r="AA37" s="130">
        <f t="shared" si="3"/>
        <v>1538397.660978233</v>
      </c>
      <c r="AB37" s="130">
        <f t="shared" si="3"/>
        <v>1650828.1642509603</v>
      </c>
      <c r="AC37" s="130">
        <f t="shared" si="3"/>
        <v>1763258.6675236877</v>
      </c>
      <c r="AD37" s="130">
        <f t="shared" si="3"/>
        <v>1875689.1707964151</v>
      </c>
      <c r="AE37" s="130">
        <f t="shared" si="3"/>
        <v>1988119.6740691424</v>
      </c>
      <c r="AF37" s="130">
        <f t="shared" si="3"/>
        <v>2100550.1773418696</v>
      </c>
      <c r="AG37" s="130">
        <f t="shared" si="3"/>
        <v>2212980.6806145967</v>
      </c>
      <c r="AH37" s="130">
        <f t="shared" si="3"/>
        <v>2325411.1838873238</v>
      </c>
      <c r="AI37" s="130">
        <f t="shared" si="3"/>
        <v>2437841.687160051</v>
      </c>
      <c r="AJ37" s="130">
        <f t="shared" si="3"/>
        <v>2550272.1904327781</v>
      </c>
      <c r="AK37" s="130">
        <f t="shared" si="3"/>
        <v>2662702.6937055052</v>
      </c>
      <c r="AL37" s="130">
        <f t="shared" si="3"/>
        <v>2775133.1969782324</v>
      </c>
      <c r="AM37" s="130">
        <f t="shared" si="3"/>
        <v>2887563.7002509595</v>
      </c>
      <c r="AN37" s="130">
        <f t="shared" si="3"/>
        <v>0</v>
      </c>
      <c r="AO37" s="130">
        <f t="shared" si="3"/>
        <v>0</v>
      </c>
      <c r="AP37" s="130">
        <f t="shared" si="3"/>
        <v>0</v>
      </c>
      <c r="AQ37" s="130">
        <f t="shared" si="3"/>
        <v>0</v>
      </c>
      <c r="AR37" s="130">
        <f t="shared" si="3"/>
        <v>0</v>
      </c>
      <c r="AS37" s="130"/>
      <c r="AT37" s="130"/>
      <c r="AU37" s="131"/>
    </row>
    <row r="39" spans="2:56" x14ac:dyDescent="0.3">
      <c r="B39" s="108" t="s">
        <v>133</v>
      </c>
      <c r="C39" s="151"/>
      <c r="D39" s="112"/>
      <c r="E39" s="111"/>
      <c r="F39" s="110">
        <f>F7-F16-F28+F29+F30+F33-F36+F34</f>
        <v>-1416151.4353542998</v>
      </c>
      <c r="G39" s="110">
        <f t="shared" ref="G39:AU39" si="4">G7-G16-G28+G29+G30+G33-G36+G34</f>
        <v>-980.96306093500004</v>
      </c>
      <c r="H39" s="110">
        <f>H7-H16-H28+H29+H30+H33-H36+H34</f>
        <v>-6311.538461538461</v>
      </c>
      <c r="I39" s="110">
        <f t="shared" si="4"/>
        <v>-5780.4487179487178</v>
      </c>
      <c r="J39" s="110">
        <f t="shared" si="4"/>
        <v>229101.4495243</v>
      </c>
      <c r="K39" s="110">
        <f t="shared" si="4"/>
        <v>-160064.27421256501</v>
      </c>
      <c r="L39" s="110">
        <f t="shared" si="4"/>
        <v>1153.8461538461543</v>
      </c>
      <c r="M39" s="110">
        <f t="shared" si="4"/>
        <v>-16382.189999999999</v>
      </c>
      <c r="N39" s="110">
        <f t="shared" si="4"/>
        <v>-119846.15384615384</v>
      </c>
      <c r="O39" s="110">
        <f t="shared" si="4"/>
        <v>15750.000000000002</v>
      </c>
      <c r="P39" s="110">
        <f t="shared" si="4"/>
        <v>-67630.427149984578</v>
      </c>
      <c r="Q39" s="110">
        <f t="shared" si="4"/>
        <v>-37468.437989095866</v>
      </c>
      <c r="R39" s="110">
        <f t="shared" si="4"/>
        <v>-48405.260855866218</v>
      </c>
      <c r="S39" s="110">
        <f t="shared" si="4"/>
        <v>-60585.176012331969</v>
      </c>
      <c r="T39" s="110">
        <f t="shared" si="4"/>
        <v>-61659.650275442691</v>
      </c>
      <c r="U39" s="110">
        <f t="shared" si="4"/>
        <v>-64108.40924683804</v>
      </c>
      <c r="V39" s="110">
        <f t="shared" si="4"/>
        <v>-61544.609081576782</v>
      </c>
      <c r="W39" s="110">
        <f t="shared" si="4"/>
        <v>-69706.742864684493</v>
      </c>
      <c r="X39" s="110">
        <f t="shared" si="4"/>
        <v>-72797.436968260678</v>
      </c>
      <c r="Y39" s="110">
        <f t="shared" si="4"/>
        <v>-75455.122550972679</v>
      </c>
      <c r="Z39" s="110">
        <f t="shared" si="4"/>
        <v>-77879.734646266617</v>
      </c>
      <c r="AA39" s="110">
        <f t="shared" si="4"/>
        <v>-80888.119701265357</v>
      </c>
      <c r="AB39" s="110">
        <f t="shared" si="4"/>
        <v>-82210.644197031244</v>
      </c>
      <c r="AC39" s="110">
        <f t="shared" si="4"/>
        <v>-82628.428167001606</v>
      </c>
      <c r="AD39" s="110">
        <f t="shared" si="4"/>
        <v>-84211.170096668793</v>
      </c>
      <c r="AE39" s="110">
        <f t="shared" si="4"/>
        <v>-85793.912026335864</v>
      </c>
      <c r="AF39" s="110">
        <f t="shared" si="4"/>
        <v>-87376.653956003051</v>
      </c>
      <c r="AG39" s="110">
        <f t="shared" si="4"/>
        <v>-88959.395885670179</v>
      </c>
      <c r="AH39" s="110">
        <f t="shared" si="4"/>
        <v>-90543.371692403889</v>
      </c>
      <c r="AI39" s="110">
        <f t="shared" si="4"/>
        <v>-91747.863333955116</v>
      </c>
      <c r="AJ39" s="110">
        <f t="shared" si="4"/>
        <v>-69763.481587618124</v>
      </c>
      <c r="AK39" s="110">
        <f t="shared" si="4"/>
        <v>-70967.891141281172</v>
      </c>
      <c r="AL39" s="112">
        <f t="shared" si="4"/>
        <v>-72172.300694944162</v>
      </c>
      <c r="AM39" s="110">
        <f t="shared" si="4"/>
        <v>-92242.960248607124</v>
      </c>
      <c r="AN39" s="110">
        <f t="shared" si="4"/>
        <v>7122415.1567332428</v>
      </c>
      <c r="AO39" s="110">
        <f t="shared" si="4"/>
        <v>-1379353.4376924287</v>
      </c>
      <c r="AP39" s="110">
        <f t="shared" si="4"/>
        <v>-53394.427240134086</v>
      </c>
      <c r="AQ39" s="110">
        <f t="shared" si="4"/>
        <v>-107869.76308224339</v>
      </c>
      <c r="AR39" s="110">
        <f t="shared" si="4"/>
        <v>-35964.612684000007</v>
      </c>
      <c r="AS39" s="110">
        <f t="shared" si="4"/>
        <v>1247293.8077132986</v>
      </c>
      <c r="AT39" s="110">
        <f t="shared" si="4"/>
        <v>-1228667.0158509617</v>
      </c>
      <c r="AU39" s="110">
        <f t="shared" si="4"/>
        <v>-447994.52286576165</v>
      </c>
    </row>
    <row r="40" spans="2:56" x14ac:dyDescent="0.3">
      <c r="B40" s="108" t="s">
        <v>134</v>
      </c>
      <c r="C40" s="151"/>
      <c r="D40" s="112"/>
      <c r="E40" s="111"/>
      <c r="F40" s="110">
        <f>F39</f>
        <v>-1416151.4353542998</v>
      </c>
      <c r="G40" s="110">
        <f>F40+G39</f>
        <v>-1417132.3984152349</v>
      </c>
      <c r="H40" s="110">
        <f t="shared" ref="H40:AU40" si="5">G40+H39</f>
        <v>-1423443.9368767734</v>
      </c>
      <c r="I40" s="110">
        <f t="shared" si="5"/>
        <v>-1429224.3855947221</v>
      </c>
      <c r="J40" s="110">
        <f t="shared" si="5"/>
        <v>-1200122.9360704222</v>
      </c>
      <c r="K40" s="110">
        <f t="shared" si="5"/>
        <v>-1360187.2102829872</v>
      </c>
      <c r="L40" s="110">
        <f t="shared" si="5"/>
        <v>-1359033.364129141</v>
      </c>
      <c r="M40" s="110">
        <f t="shared" si="5"/>
        <v>-1375415.5541291409</v>
      </c>
      <c r="N40" s="110">
        <f t="shared" si="5"/>
        <v>-1495261.7079752947</v>
      </c>
      <c r="O40" s="110">
        <f t="shared" si="5"/>
        <v>-1479511.7079752947</v>
      </c>
      <c r="P40" s="110">
        <f t="shared" si="5"/>
        <v>-1547142.1351252792</v>
      </c>
      <c r="Q40" s="110">
        <f t="shared" si="5"/>
        <v>-1584610.5731143751</v>
      </c>
      <c r="R40" s="110">
        <f t="shared" si="5"/>
        <v>-1633015.8339702412</v>
      </c>
      <c r="S40" s="110">
        <f t="shared" si="5"/>
        <v>-1693601.0099825733</v>
      </c>
      <c r="T40" s="110">
        <f t="shared" si="5"/>
        <v>-1755260.6602580161</v>
      </c>
      <c r="U40" s="110">
        <f t="shared" si="5"/>
        <v>-1819369.069504854</v>
      </c>
      <c r="V40" s="110">
        <f t="shared" si="5"/>
        <v>-1880913.6785864308</v>
      </c>
      <c r="W40" s="110">
        <f t="shared" si="5"/>
        <v>-1950620.4214511153</v>
      </c>
      <c r="X40" s="110">
        <f t="shared" si="5"/>
        <v>-2023417.858419376</v>
      </c>
      <c r="Y40" s="110">
        <f t="shared" si="5"/>
        <v>-2098872.9809703487</v>
      </c>
      <c r="Z40" s="110">
        <f t="shared" si="5"/>
        <v>-2176752.7156166155</v>
      </c>
      <c r="AA40" s="110">
        <f t="shared" si="5"/>
        <v>-2257640.8353178808</v>
      </c>
      <c r="AB40" s="110">
        <f t="shared" si="5"/>
        <v>-2339851.4795149122</v>
      </c>
      <c r="AC40" s="110">
        <f t="shared" si="5"/>
        <v>-2422479.907681914</v>
      </c>
      <c r="AD40" s="110">
        <f t="shared" si="5"/>
        <v>-2506691.0777785829</v>
      </c>
      <c r="AE40" s="110">
        <f t="shared" si="5"/>
        <v>-2592484.9898049189</v>
      </c>
      <c r="AF40" s="110">
        <f t="shared" si="5"/>
        <v>-2679861.6437609219</v>
      </c>
      <c r="AG40" s="110">
        <f t="shared" si="5"/>
        <v>-2768821.039646592</v>
      </c>
      <c r="AH40" s="110">
        <f t="shared" si="5"/>
        <v>-2859364.4113389957</v>
      </c>
      <c r="AI40" s="110">
        <f t="shared" si="5"/>
        <v>-2951112.2746729506</v>
      </c>
      <c r="AJ40" s="110">
        <f t="shared" si="5"/>
        <v>-3020875.7562605687</v>
      </c>
      <c r="AK40" s="110">
        <f t="shared" si="5"/>
        <v>-3091843.6474018497</v>
      </c>
      <c r="AL40" s="112">
        <f t="shared" si="5"/>
        <v>-3164015.9480967941</v>
      </c>
      <c r="AM40" s="110">
        <f t="shared" si="5"/>
        <v>-3256258.9083454013</v>
      </c>
      <c r="AN40" s="110">
        <f t="shared" si="5"/>
        <v>3866156.2483878415</v>
      </c>
      <c r="AO40" s="110">
        <f t="shared" si="5"/>
        <v>2486802.8106954126</v>
      </c>
      <c r="AP40" s="110">
        <f t="shared" si="5"/>
        <v>2433408.3834552784</v>
      </c>
      <c r="AQ40" s="110">
        <f t="shared" si="5"/>
        <v>2325538.6203730348</v>
      </c>
      <c r="AR40" s="110">
        <f t="shared" si="5"/>
        <v>2289574.007689035</v>
      </c>
      <c r="AS40" s="110">
        <f t="shared" si="5"/>
        <v>3536867.8154023336</v>
      </c>
      <c r="AT40" s="110">
        <f t="shared" si="5"/>
        <v>2308200.799551372</v>
      </c>
      <c r="AU40" s="110">
        <f t="shared" si="5"/>
        <v>1860206.2766856104</v>
      </c>
    </row>
    <row r="42" spans="2:56" x14ac:dyDescent="0.3">
      <c r="B42" s="141" t="s">
        <v>135</v>
      </c>
      <c r="C42" s="149"/>
      <c r="D42" s="152"/>
      <c r="E42" s="143"/>
      <c r="F42" s="118">
        <v>1440000</v>
      </c>
      <c r="G42" s="118">
        <v>0</v>
      </c>
      <c r="H42" s="118">
        <v>10000</v>
      </c>
      <c r="I42" s="118">
        <v>5000</v>
      </c>
      <c r="J42" s="118">
        <v>0</v>
      </c>
      <c r="K42" s="118">
        <v>0</v>
      </c>
      <c r="L42" s="118">
        <v>0</v>
      </c>
      <c r="M42" s="118">
        <v>0</v>
      </c>
      <c r="N42" s="118">
        <v>70000</v>
      </c>
      <c r="O42" s="118">
        <v>0</v>
      </c>
      <c r="P42" s="118">
        <v>50000</v>
      </c>
      <c r="Q42" s="118">
        <v>40000</v>
      </c>
      <c r="R42" s="118">
        <v>40000</v>
      </c>
      <c r="S42" s="118">
        <v>60000</v>
      </c>
      <c r="T42" s="118">
        <v>60000</v>
      </c>
      <c r="U42" s="118">
        <v>60000</v>
      </c>
      <c r="V42" s="118">
        <v>65000</v>
      </c>
      <c r="W42" s="118">
        <v>65000</v>
      </c>
      <c r="X42" s="118">
        <v>75000</v>
      </c>
      <c r="Y42" s="118">
        <v>75000</v>
      </c>
      <c r="Z42" s="118">
        <v>80000</v>
      </c>
      <c r="AA42" s="118">
        <v>80000</v>
      </c>
      <c r="AB42" s="118">
        <v>80000</v>
      </c>
      <c r="AC42" s="118">
        <v>80000</v>
      </c>
      <c r="AD42" s="118">
        <v>80000</v>
      </c>
      <c r="AE42" s="118">
        <v>80000</v>
      </c>
      <c r="AF42" s="118">
        <v>85000</v>
      </c>
      <c r="AG42" s="118">
        <v>85000</v>
      </c>
      <c r="AH42" s="118">
        <v>90000</v>
      </c>
      <c r="AI42" s="118">
        <v>90000</v>
      </c>
      <c r="AJ42" s="118">
        <v>70000</v>
      </c>
      <c r="AK42" s="118">
        <v>70000</v>
      </c>
      <c r="AL42" s="118">
        <v>70000</v>
      </c>
      <c r="AM42" s="118">
        <v>85000</v>
      </c>
      <c r="AN42" s="118">
        <v>-3240000</v>
      </c>
      <c r="AO42" s="118">
        <v>0</v>
      </c>
      <c r="AP42" s="118">
        <v>0</v>
      </c>
      <c r="AQ42" s="118">
        <v>0</v>
      </c>
      <c r="AR42" s="118">
        <v>0</v>
      </c>
      <c r="AS42" s="118">
        <v>0</v>
      </c>
      <c r="AT42" s="118">
        <v>0</v>
      </c>
      <c r="AU42" s="119">
        <v>0</v>
      </c>
    </row>
    <row r="43" spans="2:56" x14ac:dyDescent="0.3">
      <c r="B43" s="146" t="s">
        <v>136</v>
      </c>
      <c r="C43" s="150"/>
      <c r="D43" s="188">
        <f>MAX(F43:AU43)</f>
        <v>3240000</v>
      </c>
      <c r="E43" s="143"/>
      <c r="F43" s="129">
        <f>F42</f>
        <v>1440000</v>
      </c>
      <c r="G43" s="130">
        <f>F43+G42</f>
        <v>1440000</v>
      </c>
      <c r="H43" s="130">
        <f>G43+H42</f>
        <v>1450000</v>
      </c>
      <c r="I43" s="130">
        <f t="shared" ref="I43:AU43" si="6">H43+I42</f>
        <v>1455000</v>
      </c>
      <c r="J43" s="130">
        <f t="shared" si="6"/>
        <v>1455000</v>
      </c>
      <c r="K43" s="130">
        <f t="shared" si="6"/>
        <v>1455000</v>
      </c>
      <c r="L43" s="130">
        <f t="shared" si="6"/>
        <v>1455000</v>
      </c>
      <c r="M43" s="130">
        <f t="shared" si="6"/>
        <v>1455000</v>
      </c>
      <c r="N43" s="130">
        <f t="shared" si="6"/>
        <v>1525000</v>
      </c>
      <c r="O43" s="130">
        <f t="shared" si="6"/>
        <v>1525000</v>
      </c>
      <c r="P43" s="130">
        <f t="shared" si="6"/>
        <v>1575000</v>
      </c>
      <c r="Q43" s="130">
        <f t="shared" si="6"/>
        <v>1615000</v>
      </c>
      <c r="R43" s="130">
        <f t="shared" si="6"/>
        <v>1655000</v>
      </c>
      <c r="S43" s="130">
        <f t="shared" si="6"/>
        <v>1715000</v>
      </c>
      <c r="T43" s="130">
        <f t="shared" si="6"/>
        <v>1775000</v>
      </c>
      <c r="U43" s="130">
        <f t="shared" si="6"/>
        <v>1835000</v>
      </c>
      <c r="V43" s="130">
        <f t="shared" si="6"/>
        <v>1900000</v>
      </c>
      <c r="W43" s="130">
        <f t="shared" si="6"/>
        <v>1965000</v>
      </c>
      <c r="X43" s="130">
        <f t="shared" si="6"/>
        <v>2040000</v>
      </c>
      <c r="Y43" s="130">
        <f t="shared" si="6"/>
        <v>2115000</v>
      </c>
      <c r="Z43" s="130">
        <f t="shared" si="6"/>
        <v>2195000</v>
      </c>
      <c r="AA43" s="130">
        <f t="shared" si="6"/>
        <v>2275000</v>
      </c>
      <c r="AB43" s="130">
        <f t="shared" si="6"/>
        <v>2355000</v>
      </c>
      <c r="AC43" s="130">
        <f t="shared" si="6"/>
        <v>2435000</v>
      </c>
      <c r="AD43" s="130">
        <f t="shared" si="6"/>
        <v>2515000</v>
      </c>
      <c r="AE43" s="130">
        <f t="shared" si="6"/>
        <v>2595000</v>
      </c>
      <c r="AF43" s="130">
        <f t="shared" si="6"/>
        <v>2680000</v>
      </c>
      <c r="AG43" s="130">
        <f t="shared" si="6"/>
        <v>2765000</v>
      </c>
      <c r="AH43" s="130">
        <f t="shared" si="6"/>
        <v>2855000</v>
      </c>
      <c r="AI43" s="130">
        <f t="shared" si="6"/>
        <v>2945000</v>
      </c>
      <c r="AJ43" s="130">
        <f t="shared" si="6"/>
        <v>3015000</v>
      </c>
      <c r="AK43" s="130">
        <f t="shared" si="6"/>
        <v>3085000</v>
      </c>
      <c r="AL43" s="130">
        <f t="shared" si="6"/>
        <v>3155000</v>
      </c>
      <c r="AM43" s="130">
        <f t="shared" si="6"/>
        <v>3240000</v>
      </c>
      <c r="AN43" s="130">
        <f t="shared" si="6"/>
        <v>0</v>
      </c>
      <c r="AO43" s="130">
        <f t="shared" si="6"/>
        <v>0</v>
      </c>
      <c r="AP43" s="130">
        <f t="shared" si="6"/>
        <v>0</v>
      </c>
      <c r="AQ43" s="130">
        <f t="shared" si="6"/>
        <v>0</v>
      </c>
      <c r="AR43" s="130">
        <f t="shared" si="6"/>
        <v>0</v>
      </c>
      <c r="AS43" s="130">
        <f t="shared" si="6"/>
        <v>0</v>
      </c>
      <c r="AT43" s="130">
        <f t="shared" si="6"/>
        <v>0</v>
      </c>
      <c r="AU43" s="131">
        <f t="shared" si="6"/>
        <v>0</v>
      </c>
    </row>
    <row r="45" spans="2:56" x14ac:dyDescent="0.3">
      <c r="B45" s="108" t="s">
        <v>137</v>
      </c>
      <c r="C45" s="151"/>
      <c r="D45" s="112"/>
      <c r="E45" s="111"/>
      <c r="F45" s="110">
        <f>F39+F42</f>
        <v>23848.564645700157</v>
      </c>
      <c r="G45" s="110">
        <f>G39+G42</f>
        <v>-980.96306093500004</v>
      </c>
      <c r="H45" s="110">
        <f t="shared" ref="H45:AU45" si="7">H39+H42</f>
        <v>3688.461538461539</v>
      </c>
      <c r="I45" s="110">
        <f t="shared" si="7"/>
        <v>-780.44871794871779</v>
      </c>
      <c r="J45" s="110">
        <f t="shared" si="7"/>
        <v>229101.4495243</v>
      </c>
      <c r="K45" s="110">
        <f t="shared" si="7"/>
        <v>-160064.27421256501</v>
      </c>
      <c r="L45" s="110">
        <f t="shared" si="7"/>
        <v>1153.8461538461543</v>
      </c>
      <c r="M45" s="110">
        <f t="shared" si="7"/>
        <v>-16382.189999999999</v>
      </c>
      <c r="N45" s="110">
        <f t="shared" si="7"/>
        <v>-49846.153846153844</v>
      </c>
      <c r="O45" s="110">
        <f t="shared" si="7"/>
        <v>15750.000000000002</v>
      </c>
      <c r="P45" s="110">
        <f t="shared" si="7"/>
        <v>-17630.427149984578</v>
      </c>
      <c r="Q45" s="110">
        <f t="shared" si="7"/>
        <v>2531.5620109041338</v>
      </c>
      <c r="R45" s="110">
        <f t="shared" si="7"/>
        <v>-8405.2608558662178</v>
      </c>
      <c r="S45" s="110">
        <f t="shared" si="7"/>
        <v>-585.1760123319691</v>
      </c>
      <c r="T45" s="110">
        <f t="shared" si="7"/>
        <v>-1659.6502754426911</v>
      </c>
      <c r="U45" s="110">
        <f t="shared" si="7"/>
        <v>-4108.4092468380404</v>
      </c>
      <c r="V45" s="110">
        <f t="shared" si="7"/>
        <v>3455.390918423218</v>
      </c>
      <c r="W45" s="110">
        <f t="shared" si="7"/>
        <v>-4706.7428646844928</v>
      </c>
      <c r="X45" s="110">
        <f t="shared" si="7"/>
        <v>2202.5630317393225</v>
      </c>
      <c r="Y45" s="110">
        <f t="shared" si="7"/>
        <v>-455.12255097267916</v>
      </c>
      <c r="Z45" s="110">
        <f t="shared" si="7"/>
        <v>2120.2653537333827</v>
      </c>
      <c r="AA45" s="110">
        <f>AA39+AA42</f>
        <v>-888.11970126535743</v>
      </c>
      <c r="AB45" s="110">
        <f t="shared" si="7"/>
        <v>-2210.6441970312444</v>
      </c>
      <c r="AC45" s="110">
        <f t="shared" si="7"/>
        <v>-2628.4281670016062</v>
      </c>
      <c r="AD45" s="110">
        <f t="shared" si="7"/>
        <v>-4211.1700966687931</v>
      </c>
      <c r="AE45" s="110">
        <f t="shared" si="7"/>
        <v>-5793.9120263358636</v>
      </c>
      <c r="AF45" s="110">
        <f t="shared" si="7"/>
        <v>-2376.6539560030506</v>
      </c>
      <c r="AG45" s="110">
        <f t="shared" si="7"/>
        <v>-3959.3958856701793</v>
      </c>
      <c r="AH45" s="110">
        <f t="shared" si="7"/>
        <v>-543.37169240388903</v>
      </c>
      <c r="AI45" s="110">
        <f t="shared" si="7"/>
        <v>-1747.8633339551161</v>
      </c>
      <c r="AJ45" s="110">
        <f t="shared" si="7"/>
        <v>236.51841238187626</v>
      </c>
      <c r="AK45" s="110">
        <f t="shared" si="7"/>
        <v>-967.89114128117217</v>
      </c>
      <c r="AL45" s="110">
        <f t="shared" si="7"/>
        <v>-2172.3006949441624</v>
      </c>
      <c r="AM45" s="110">
        <f t="shared" si="7"/>
        <v>-7242.9602486071235</v>
      </c>
      <c r="AN45" s="110">
        <f t="shared" si="7"/>
        <v>3882415.1567332428</v>
      </c>
      <c r="AO45" s="110">
        <f t="shared" si="7"/>
        <v>-1379353.4376924287</v>
      </c>
      <c r="AP45" s="110">
        <f t="shared" si="7"/>
        <v>-53394.427240134086</v>
      </c>
      <c r="AQ45" s="110">
        <f t="shared" si="7"/>
        <v>-107869.76308224339</v>
      </c>
      <c r="AR45" s="110">
        <f t="shared" si="7"/>
        <v>-35964.612684000007</v>
      </c>
      <c r="AS45" s="110">
        <f t="shared" si="7"/>
        <v>1247293.8077132986</v>
      </c>
      <c r="AT45" s="110">
        <f t="shared" si="7"/>
        <v>-1228667.0158509617</v>
      </c>
      <c r="AU45" s="110">
        <f t="shared" si="7"/>
        <v>-447994.52286576165</v>
      </c>
    </row>
    <row r="46" spans="2:56" x14ac:dyDescent="0.3">
      <c r="B46" s="108" t="s">
        <v>138</v>
      </c>
      <c r="C46" s="151"/>
      <c r="D46" s="112"/>
      <c r="E46" s="111"/>
      <c r="F46" s="110">
        <f>F45</f>
        <v>23848.564645700157</v>
      </c>
      <c r="G46" s="110">
        <f>G45+F46</f>
        <v>22867.601584765158</v>
      </c>
      <c r="H46" s="110">
        <f t="shared" ref="H46:AU46" si="8">H45+G46</f>
        <v>26556.063123226697</v>
      </c>
      <c r="I46" s="110">
        <f t="shared" si="8"/>
        <v>25775.614405277978</v>
      </c>
      <c r="J46" s="110">
        <f t="shared" si="8"/>
        <v>254877.06392957797</v>
      </c>
      <c r="K46" s="110">
        <f t="shared" si="8"/>
        <v>94812.789717012958</v>
      </c>
      <c r="L46" s="110">
        <f t="shared" si="8"/>
        <v>95966.635870859114</v>
      </c>
      <c r="M46" s="110">
        <f t="shared" si="8"/>
        <v>79584.445870859112</v>
      </c>
      <c r="N46" s="110">
        <f t="shared" si="8"/>
        <v>29738.292024705268</v>
      </c>
      <c r="O46" s="110">
        <f t="shared" si="8"/>
        <v>45488.292024705268</v>
      </c>
      <c r="P46" s="110">
        <f t="shared" si="8"/>
        <v>27857.86487472069</v>
      </c>
      <c r="Q46" s="110">
        <f t="shared" si="8"/>
        <v>30389.426885624824</v>
      </c>
      <c r="R46" s="110">
        <f t="shared" si="8"/>
        <v>21984.166029758606</v>
      </c>
      <c r="S46" s="110">
        <f t="shared" si="8"/>
        <v>21398.990017426637</v>
      </c>
      <c r="T46" s="110">
        <f t="shared" si="8"/>
        <v>19739.339741983946</v>
      </c>
      <c r="U46" s="110">
        <f t="shared" si="8"/>
        <v>15630.930495145905</v>
      </c>
      <c r="V46" s="110">
        <f t="shared" si="8"/>
        <v>19086.321413569123</v>
      </c>
      <c r="W46" s="110">
        <f t="shared" si="8"/>
        <v>14379.57854888463</v>
      </c>
      <c r="X46" s="110">
        <f t="shared" si="8"/>
        <v>16582.141580623953</v>
      </c>
      <c r="Y46" s="110">
        <f t="shared" si="8"/>
        <v>16127.019029651274</v>
      </c>
      <c r="Z46" s="110">
        <f t="shared" si="8"/>
        <v>18247.284383384656</v>
      </c>
      <c r="AA46" s="110">
        <f t="shared" si="8"/>
        <v>17359.164682119299</v>
      </c>
      <c r="AB46" s="110">
        <f t="shared" si="8"/>
        <v>15148.520485088055</v>
      </c>
      <c r="AC46" s="110">
        <f t="shared" si="8"/>
        <v>12520.092318086448</v>
      </c>
      <c r="AD46" s="110">
        <f t="shared" si="8"/>
        <v>8308.9222214176552</v>
      </c>
      <c r="AE46" s="110">
        <f t="shared" si="8"/>
        <v>2515.0101950817916</v>
      </c>
      <c r="AF46" s="110">
        <f t="shared" si="8"/>
        <v>138.35623907874105</v>
      </c>
      <c r="AG46" s="110">
        <f t="shared" si="8"/>
        <v>-3821.0396465914382</v>
      </c>
      <c r="AH46" s="110">
        <f t="shared" si="8"/>
        <v>-4364.4113389953272</v>
      </c>
      <c r="AI46" s="110">
        <f t="shared" si="8"/>
        <v>-6112.2746729504433</v>
      </c>
      <c r="AJ46" s="110">
        <f t="shared" si="8"/>
        <v>-5875.7562605685671</v>
      </c>
      <c r="AK46" s="110">
        <f t="shared" si="8"/>
        <v>-6843.6474018497393</v>
      </c>
      <c r="AL46" s="110">
        <f t="shared" si="8"/>
        <v>-9015.9480967939016</v>
      </c>
      <c r="AM46" s="110">
        <f t="shared" si="8"/>
        <v>-16258.908345401025</v>
      </c>
      <c r="AN46" s="110">
        <f t="shared" si="8"/>
        <v>3866156.248387842</v>
      </c>
      <c r="AO46" s="110">
        <f t="shared" si="8"/>
        <v>2486802.8106954135</v>
      </c>
      <c r="AP46" s="110">
        <f t="shared" si="8"/>
        <v>2433408.3834552793</v>
      </c>
      <c r="AQ46" s="110">
        <f t="shared" si="8"/>
        <v>2325538.6203730358</v>
      </c>
      <c r="AR46" s="110">
        <f t="shared" si="8"/>
        <v>2289574.007689036</v>
      </c>
      <c r="AS46" s="110">
        <f t="shared" si="8"/>
        <v>3536867.8154023346</v>
      </c>
      <c r="AT46" s="110">
        <f t="shared" si="8"/>
        <v>2308200.7995513729</v>
      </c>
      <c r="AU46" s="110">
        <f t="shared" si="8"/>
        <v>1860206.2766856113</v>
      </c>
    </row>
    <row r="47" spans="2:56" x14ac:dyDescent="0.3">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row>
    <row r="48" spans="2:56" x14ac:dyDescent="0.3">
      <c r="C48" s="153" t="s">
        <v>139</v>
      </c>
      <c r="D48" s="154">
        <f>$D$7-$D$16</f>
        <v>1860206.0560347252</v>
      </c>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row>
    <row r="49" spans="4:6" x14ac:dyDescent="0.3">
      <c r="D49" s="155"/>
    </row>
    <row r="50" spans="4:6" x14ac:dyDescent="0.3">
      <c r="D50" s="155"/>
      <c r="F50" s="15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3.2" x14ac:dyDescent="0.25"/>
  <cols>
    <col min="4" max="4" width="11.44140625" style="10"/>
    <col min="5" max="5" width="15.88671875" customWidth="1"/>
    <col min="6" max="6" width="14.109375" customWidth="1"/>
    <col min="7" max="7" width="9.88671875" bestFit="1" customWidth="1"/>
    <col min="8" max="8" width="9.44140625" customWidth="1"/>
    <col min="10" max="10" width="83.88671875" customWidth="1"/>
    <col min="13" max="13" width="12.109375" bestFit="1" customWidth="1"/>
  </cols>
  <sheetData>
    <row r="1" spans="4:24" x14ac:dyDescent="0.25">
      <c r="O1" s="9" t="e">
        <f>VLOOKUP(#REF!,$M$17:$R$21,6,1)&amp;VLOOKUP(#REF!,$M$24:$R$25,6,1)</f>
        <v>#REF!</v>
      </c>
      <c r="P1" s="12" t="s">
        <v>28</v>
      </c>
      <c r="Q1" s="12" t="s">
        <v>34</v>
      </c>
      <c r="R1" s="12" t="s">
        <v>36</v>
      </c>
      <c r="S1" s="12" t="s">
        <v>38</v>
      </c>
      <c r="U1" s="10" t="s">
        <v>76</v>
      </c>
    </row>
    <row r="2" spans="4:24" x14ac:dyDescent="0.25">
      <c r="D2" s="9" t="s">
        <v>39</v>
      </c>
      <c r="L2" t="s">
        <v>67</v>
      </c>
      <c r="M2" t="s">
        <v>36</v>
      </c>
      <c r="N2" s="10" t="s">
        <v>64</v>
      </c>
      <c r="O2" t="str">
        <f>+L2&amp;M2</f>
        <v>VPOREB</v>
      </c>
      <c r="P2" s="16">
        <v>1038.25</v>
      </c>
      <c r="Q2" s="17">
        <v>1001.17</v>
      </c>
      <c r="R2" s="17">
        <v>895.99</v>
      </c>
      <c r="S2" s="18">
        <v>837.87</v>
      </c>
      <c r="T2" s="37"/>
      <c r="U2" s="13" t="s">
        <v>74</v>
      </c>
    </row>
    <row r="3" spans="4:24" x14ac:dyDescent="0.25">
      <c r="L3" t="s">
        <v>67</v>
      </c>
      <c r="M3" t="s">
        <v>66</v>
      </c>
      <c r="N3" s="10" t="s">
        <v>64</v>
      </c>
      <c r="O3" t="str">
        <f t="shared" ref="O3:O7" si="0">+L3&amp;M3</f>
        <v>VPOREU</v>
      </c>
      <c r="P3" s="19">
        <v>1041.05</v>
      </c>
      <c r="Q3" s="20">
        <v>1004.4</v>
      </c>
      <c r="R3" s="20">
        <v>916.5</v>
      </c>
      <c r="S3" s="21">
        <v>857.83</v>
      </c>
      <c r="T3" s="37"/>
      <c r="U3" s="11"/>
    </row>
    <row r="4" spans="4:24" x14ac:dyDescent="0.25">
      <c r="D4" s="3" t="s">
        <v>25</v>
      </c>
      <c r="E4" s="3" t="s">
        <v>26</v>
      </c>
      <c r="F4" s="3" t="s">
        <v>27</v>
      </c>
      <c r="I4" s="3"/>
      <c r="J4" s="3"/>
      <c r="L4" t="s">
        <v>68</v>
      </c>
      <c r="M4" t="s">
        <v>36</v>
      </c>
      <c r="N4" s="10" t="s">
        <v>64</v>
      </c>
      <c r="O4" t="str">
        <f t="shared" si="0"/>
        <v>VPORGB</v>
      </c>
      <c r="P4" s="19">
        <v>1153.6099999999999</v>
      </c>
      <c r="Q4" s="20">
        <v>1112.4100000000001</v>
      </c>
      <c r="R4" s="20">
        <v>995.53</v>
      </c>
      <c r="S4" s="21">
        <v>930.98</v>
      </c>
      <c r="T4" s="37"/>
      <c r="U4" s="13" t="s">
        <v>75</v>
      </c>
    </row>
    <row r="5" spans="4:24" x14ac:dyDescent="0.25">
      <c r="D5" s="3" t="s">
        <v>28</v>
      </c>
      <c r="E5" s="4">
        <v>1314.04</v>
      </c>
      <c r="F5" s="4">
        <v>1344.43</v>
      </c>
      <c r="I5" s="6"/>
      <c r="J5" s="5"/>
      <c r="L5" t="s">
        <v>68</v>
      </c>
      <c r="M5" t="s">
        <v>66</v>
      </c>
      <c r="N5" s="10" t="s">
        <v>64</v>
      </c>
      <c r="O5" t="str">
        <f t="shared" si="0"/>
        <v>VPORGU</v>
      </c>
      <c r="P5" s="19">
        <v>1180.3</v>
      </c>
      <c r="Q5" s="20">
        <v>1138.1400000000001</v>
      </c>
      <c r="R5" s="20">
        <v>1018.31</v>
      </c>
      <c r="S5" s="21">
        <v>953.18</v>
      </c>
      <c r="T5" s="37"/>
      <c r="U5" s="11"/>
    </row>
    <row r="6" spans="4:24" x14ac:dyDescent="0.25">
      <c r="D6" s="3" t="s">
        <v>29</v>
      </c>
      <c r="E6" s="4">
        <v>1267.0999999999999</v>
      </c>
      <c r="F6" s="4">
        <v>1296.4100000000001</v>
      </c>
      <c r="I6" s="6"/>
      <c r="J6" s="5"/>
      <c r="L6" t="s">
        <v>65</v>
      </c>
      <c r="M6" t="s">
        <v>36</v>
      </c>
      <c r="N6" s="10" t="s">
        <v>64</v>
      </c>
      <c r="O6" t="str">
        <f t="shared" si="0"/>
        <v>VPCB</v>
      </c>
      <c r="P6" s="19">
        <v>1314.04</v>
      </c>
      <c r="Q6" s="20">
        <v>1267.0999999999999</v>
      </c>
      <c r="R6" s="20">
        <v>1133.97</v>
      </c>
      <c r="S6" s="21">
        <v>1060.44</v>
      </c>
      <c r="T6" s="37"/>
      <c r="U6" s="13" t="s">
        <v>77</v>
      </c>
    </row>
    <row r="7" spans="4:24" x14ac:dyDescent="0.25">
      <c r="D7" s="3" t="s">
        <v>30</v>
      </c>
      <c r="E7" s="4">
        <v>1133.97</v>
      </c>
      <c r="F7" s="4">
        <v>1159.93</v>
      </c>
      <c r="I7" s="6"/>
      <c r="J7" s="5"/>
      <c r="L7" t="s">
        <v>65</v>
      </c>
      <c r="M7" t="s">
        <v>66</v>
      </c>
      <c r="N7" s="10" t="s">
        <v>64</v>
      </c>
      <c r="O7" t="str">
        <f t="shared" si="0"/>
        <v>VPCU</v>
      </c>
      <c r="P7" s="22">
        <v>1344.43</v>
      </c>
      <c r="Q7" s="23">
        <v>1296.4100000000001</v>
      </c>
      <c r="R7" s="23">
        <v>1159.93</v>
      </c>
      <c r="S7" s="24">
        <v>1086.04</v>
      </c>
      <c r="U7" s="11"/>
    </row>
    <row r="8" spans="4:24" x14ac:dyDescent="0.25">
      <c r="D8" s="3" t="s">
        <v>31</v>
      </c>
      <c r="E8" s="4">
        <v>1060.44</v>
      </c>
      <c r="F8" s="4">
        <v>1086.04</v>
      </c>
      <c r="O8" s="9" t="e">
        <f>VLOOKUP(#REF!,$M$17:$R$21,6,1)&amp;VLOOKUP(#REF!,$M$28:$R$30,6,1)</f>
        <v>#REF!</v>
      </c>
      <c r="P8" s="12" t="s">
        <v>28</v>
      </c>
      <c r="Q8" s="12" t="s">
        <v>34</v>
      </c>
      <c r="R8" s="12" t="s">
        <v>36</v>
      </c>
      <c r="S8" s="12" t="s">
        <v>38</v>
      </c>
    </row>
    <row r="9" spans="4:24" x14ac:dyDescent="0.25">
      <c r="L9" s="10" t="s">
        <v>70</v>
      </c>
      <c r="M9" s="10" t="s">
        <v>64</v>
      </c>
      <c r="N9" s="10" t="s">
        <v>71</v>
      </c>
      <c r="O9" t="str">
        <f>+L9&amp;N9</f>
        <v>VMED30-60</v>
      </c>
      <c r="P9" s="16">
        <v>1498.91</v>
      </c>
      <c r="Q9" s="17">
        <v>1498.91</v>
      </c>
      <c r="R9" s="17">
        <v>1453.27</v>
      </c>
      <c r="S9" s="18">
        <v>1309.1500000000001</v>
      </c>
      <c r="U9" s="13" t="s">
        <v>79</v>
      </c>
      <c r="V9" s="25" t="s">
        <v>80</v>
      </c>
      <c r="W9" s="26"/>
    </row>
    <row r="10" spans="4:24" x14ac:dyDescent="0.25">
      <c r="L10" s="10" t="s">
        <v>70</v>
      </c>
      <c r="M10" s="10" t="s">
        <v>64</v>
      </c>
      <c r="N10" s="10" t="s">
        <v>72</v>
      </c>
      <c r="O10" t="str">
        <f t="shared" ref="O10:O11" si="1">+L10&amp;N10</f>
        <v>VMED60-90</v>
      </c>
      <c r="P10" s="19">
        <v>1375.22</v>
      </c>
      <c r="Q10" s="20">
        <v>1375.22</v>
      </c>
      <c r="R10" s="20">
        <v>1333.17</v>
      </c>
      <c r="S10" s="21">
        <v>1201.05</v>
      </c>
      <c r="U10" s="15"/>
      <c r="V10" s="27"/>
      <c r="W10" s="28"/>
    </row>
    <row r="11" spans="4:24" x14ac:dyDescent="0.25">
      <c r="L11" s="10" t="s">
        <v>70</v>
      </c>
      <c r="M11" s="10" t="s">
        <v>64</v>
      </c>
      <c r="N11" s="10" t="s">
        <v>73</v>
      </c>
      <c r="O11" t="str">
        <f t="shared" si="1"/>
        <v>VMED90-120</v>
      </c>
      <c r="P11" s="22">
        <v>1249.0899999999999</v>
      </c>
      <c r="Q11" s="23">
        <v>1249.0899999999999</v>
      </c>
      <c r="R11" s="23">
        <v>1210.67</v>
      </c>
      <c r="S11" s="24">
        <v>1179.44</v>
      </c>
      <c r="U11" s="11"/>
      <c r="V11" s="29"/>
      <c r="W11" s="30"/>
    </row>
    <row r="12" spans="4:24" x14ac:dyDescent="0.25">
      <c r="I12" s="3" t="s">
        <v>32</v>
      </c>
      <c r="J12" s="3" t="s">
        <v>33</v>
      </c>
      <c r="P12" s="12" t="s">
        <v>28</v>
      </c>
      <c r="Q12" s="12" t="s">
        <v>34</v>
      </c>
      <c r="R12" s="12" t="s">
        <v>36</v>
      </c>
      <c r="S12" s="12" t="s">
        <v>38</v>
      </c>
    </row>
    <row r="13" spans="4:24" ht="26.4" x14ac:dyDescent="0.25">
      <c r="I13" s="6" t="s">
        <v>28</v>
      </c>
      <c r="J13" s="5" t="s">
        <v>43</v>
      </c>
      <c r="L13" s="10" t="s">
        <v>69</v>
      </c>
      <c r="M13" s="10" t="s">
        <v>64</v>
      </c>
      <c r="N13" s="10" t="s">
        <v>64</v>
      </c>
      <c r="O13" t="str">
        <f>+L13&amp;M13&amp;N13</f>
        <v xml:space="preserve">VPESP  </v>
      </c>
      <c r="P13" s="44">
        <v>891.2</v>
      </c>
      <c r="Q13" s="45">
        <v>891.2</v>
      </c>
      <c r="R13" s="45">
        <v>891.2</v>
      </c>
      <c r="S13" s="46">
        <v>891.2</v>
      </c>
      <c r="U13" s="14" t="s">
        <v>74</v>
      </c>
      <c r="V13" s="31" t="s">
        <v>81</v>
      </c>
      <c r="W13" s="32"/>
      <c r="X13" s="10" t="s">
        <v>78</v>
      </c>
    </row>
    <row r="14" spans="4:24" ht="26.4" x14ac:dyDescent="0.25">
      <c r="I14" s="6" t="s">
        <v>34</v>
      </c>
      <c r="J14" s="5" t="s">
        <v>35</v>
      </c>
      <c r="L14" s="47" t="e">
        <f>VLOOKUP(Extremadura!$O$8,Extremadura!$O$9:$S$11,VLOOKUP(#REF!,Extremadura!$R$33:$S$36,2,0))</f>
        <v>#REF!</v>
      </c>
      <c r="M14" t="e">
        <f>VLOOKUP(Extremadura!$O$1,Extremadura!$O$2:$S$7,VLOOKUP(#REF!,Extremadura!$R$33:$S$36,2,0))</f>
        <v>#REF!</v>
      </c>
      <c r="O14">
        <v>1</v>
      </c>
      <c r="P14">
        <v>2</v>
      </c>
      <c r="Q14">
        <v>3</v>
      </c>
      <c r="R14">
        <v>4</v>
      </c>
      <c r="S14">
        <v>5</v>
      </c>
    </row>
    <row r="15" spans="4:24" ht="79.2" x14ac:dyDescent="0.25">
      <c r="I15" s="6" t="s">
        <v>36</v>
      </c>
      <c r="J15" s="5" t="s">
        <v>37</v>
      </c>
      <c r="M15">
        <f>VLOOKUP(T27,Extremadura!$R$33:$S$36,2,0)</f>
        <v>2</v>
      </c>
    </row>
    <row r="16" spans="4:24" x14ac:dyDescent="0.25">
      <c r="I16" s="6" t="s">
        <v>38</v>
      </c>
      <c r="J16" s="5" t="s">
        <v>44</v>
      </c>
      <c r="M16" s="10" t="s">
        <v>90</v>
      </c>
      <c r="R16" s="10" t="s">
        <v>95</v>
      </c>
    </row>
    <row r="17" spans="4:20" x14ac:dyDescent="0.25">
      <c r="I17" s="6"/>
      <c r="J17" s="5"/>
      <c r="M17" s="25" t="s">
        <v>82</v>
      </c>
      <c r="N17" s="33"/>
      <c r="O17" s="33"/>
      <c r="P17" s="33"/>
      <c r="Q17" s="33"/>
      <c r="R17" s="26" t="str">
        <f>+L2</f>
        <v>VPORE</v>
      </c>
    </row>
    <row r="18" spans="4:20" x14ac:dyDescent="0.25">
      <c r="D18" s="9" t="s">
        <v>42</v>
      </c>
      <c r="M18" s="34" t="s">
        <v>83</v>
      </c>
      <c r="R18" s="28" t="str">
        <f>+L4</f>
        <v>VPORG</v>
      </c>
    </row>
    <row r="19" spans="4:20" x14ac:dyDescent="0.25">
      <c r="M19" s="34" t="s">
        <v>84</v>
      </c>
      <c r="R19" s="28" t="str">
        <f>+L6</f>
        <v>VPC</v>
      </c>
    </row>
    <row r="20" spans="4:20" x14ac:dyDescent="0.25">
      <c r="D20" s="3" t="s">
        <v>32</v>
      </c>
      <c r="E20" s="3" t="s">
        <v>40</v>
      </c>
      <c r="F20" s="3" t="s">
        <v>41</v>
      </c>
      <c r="M20" s="34" t="s">
        <v>86</v>
      </c>
      <c r="R20" s="28" t="str">
        <f>+L13</f>
        <v>VPESP</v>
      </c>
    </row>
    <row r="21" spans="4:20" x14ac:dyDescent="0.25">
      <c r="D21" s="3" t="s">
        <v>28</v>
      </c>
      <c r="E21" s="4">
        <v>1038.25</v>
      </c>
      <c r="F21" s="4">
        <v>1041.05</v>
      </c>
      <c r="M21" s="35" t="s">
        <v>85</v>
      </c>
      <c r="N21" s="36"/>
      <c r="O21" s="36"/>
      <c r="P21" s="36"/>
      <c r="Q21" s="36"/>
      <c r="R21" s="30" t="str">
        <f>+L9</f>
        <v>VMED</v>
      </c>
    </row>
    <row r="22" spans="4:20" x14ac:dyDescent="0.25">
      <c r="D22" s="3" t="s">
        <v>34</v>
      </c>
      <c r="E22" s="4">
        <v>1001.17</v>
      </c>
      <c r="F22" s="4">
        <v>1004.4</v>
      </c>
    </row>
    <row r="23" spans="4:20" x14ac:dyDescent="0.25">
      <c r="D23" s="3" t="s">
        <v>36</v>
      </c>
      <c r="E23" s="4">
        <v>895.99</v>
      </c>
      <c r="F23" s="4">
        <v>916.5</v>
      </c>
      <c r="M23" s="10" t="s">
        <v>91</v>
      </c>
      <c r="R23" s="10" t="s">
        <v>96</v>
      </c>
    </row>
    <row r="24" spans="4:20" x14ac:dyDescent="0.25">
      <c r="D24" s="3" t="s">
        <v>38</v>
      </c>
      <c r="E24" s="4">
        <v>837.87</v>
      </c>
      <c r="F24" s="4">
        <v>857.83</v>
      </c>
      <c r="M24" s="25" t="s">
        <v>87</v>
      </c>
      <c r="N24" s="33"/>
      <c r="O24" s="33"/>
      <c r="P24" s="33"/>
      <c r="Q24" s="33"/>
      <c r="R24" s="38" t="s">
        <v>36</v>
      </c>
    </row>
    <row r="25" spans="4:20" x14ac:dyDescent="0.25">
      <c r="M25" s="35" t="s">
        <v>88</v>
      </c>
      <c r="N25" s="36"/>
      <c r="O25" s="36"/>
      <c r="P25" s="36"/>
      <c r="Q25" s="36"/>
      <c r="R25" s="39" t="s">
        <v>66</v>
      </c>
    </row>
    <row r="27" spans="4:20" x14ac:dyDescent="0.25">
      <c r="M27" s="10" t="s">
        <v>92</v>
      </c>
      <c r="R27" s="10" t="s">
        <v>97</v>
      </c>
      <c r="T27" s="10" t="s">
        <v>28</v>
      </c>
    </row>
    <row r="28" spans="4:20" x14ac:dyDescent="0.25">
      <c r="M28" s="25" t="s">
        <v>100</v>
      </c>
      <c r="N28" s="33"/>
      <c r="O28" s="33"/>
      <c r="P28" s="33"/>
      <c r="Q28" s="33"/>
      <c r="R28" s="38" t="s">
        <v>71</v>
      </c>
    </row>
    <row r="29" spans="4:20" x14ac:dyDescent="0.25">
      <c r="D29" s="9" t="s">
        <v>45</v>
      </c>
      <c r="M29" s="34" t="s">
        <v>99</v>
      </c>
      <c r="R29" s="40" t="s">
        <v>72</v>
      </c>
    </row>
    <row r="30" spans="4:20" x14ac:dyDescent="0.25">
      <c r="M30" s="35" t="s">
        <v>98</v>
      </c>
      <c r="N30" s="36"/>
      <c r="O30" s="36"/>
      <c r="P30" s="36"/>
      <c r="Q30" s="36"/>
      <c r="R30" s="39" t="s">
        <v>73</v>
      </c>
    </row>
    <row r="31" spans="4:20" x14ac:dyDescent="0.25">
      <c r="D31" s="3" t="s">
        <v>32</v>
      </c>
      <c r="E31" s="3" t="s">
        <v>40</v>
      </c>
      <c r="F31" s="3" t="s">
        <v>41</v>
      </c>
    </row>
    <row r="32" spans="4:20" x14ac:dyDescent="0.25">
      <c r="D32" s="3" t="s">
        <v>28</v>
      </c>
      <c r="E32" s="4">
        <v>1153.6099999999999</v>
      </c>
      <c r="F32" s="4">
        <v>1180.3</v>
      </c>
      <c r="M32" s="10" t="s">
        <v>94</v>
      </c>
      <c r="R32" s="10" t="s">
        <v>93</v>
      </c>
    </row>
    <row r="33" spans="4:19" ht="132" x14ac:dyDescent="0.25">
      <c r="D33" s="3" t="s">
        <v>34</v>
      </c>
      <c r="E33" s="4">
        <v>1112.4100000000001</v>
      </c>
      <c r="F33" s="4">
        <v>1138.1400000000001</v>
      </c>
      <c r="M33" s="41" t="s">
        <v>43</v>
      </c>
      <c r="N33" s="33"/>
      <c r="O33" s="33"/>
      <c r="P33" s="33"/>
      <c r="Q33" s="33"/>
      <c r="R33" s="38" t="s">
        <v>28</v>
      </c>
      <c r="S33">
        <v>2</v>
      </c>
    </row>
    <row r="34" spans="4:19" ht="132" x14ac:dyDescent="0.25">
      <c r="D34" s="3" t="s">
        <v>36</v>
      </c>
      <c r="E34" s="4">
        <v>995.53</v>
      </c>
      <c r="F34" s="4">
        <v>1018.31</v>
      </c>
      <c r="M34" s="42" t="s">
        <v>35</v>
      </c>
      <c r="R34" s="40" t="s">
        <v>34</v>
      </c>
      <c r="S34">
        <v>3</v>
      </c>
    </row>
    <row r="35" spans="4:19" ht="409.6" x14ac:dyDescent="0.25">
      <c r="D35" s="3" t="s">
        <v>38</v>
      </c>
      <c r="E35" s="4">
        <v>930.98</v>
      </c>
      <c r="F35" s="4">
        <v>953.18</v>
      </c>
      <c r="M35" s="42" t="s">
        <v>37</v>
      </c>
      <c r="R35" s="40" t="s">
        <v>36</v>
      </c>
      <c r="S35">
        <v>4</v>
      </c>
    </row>
    <row r="36" spans="4:19" ht="92.4" x14ac:dyDescent="0.25">
      <c r="M36" s="43" t="s">
        <v>89</v>
      </c>
      <c r="N36" s="36"/>
      <c r="O36" s="36"/>
      <c r="P36" s="36"/>
      <c r="Q36" s="36"/>
      <c r="R36" s="39" t="s">
        <v>38</v>
      </c>
      <c r="S36">
        <v>5</v>
      </c>
    </row>
    <row r="39" spans="4:19" x14ac:dyDescent="0.25">
      <c r="D39" s="9" t="s">
        <v>46</v>
      </c>
    </row>
    <row r="41" spans="4:19" x14ac:dyDescent="0.25">
      <c r="J41" s="3" t="s">
        <v>47</v>
      </c>
      <c r="K41" s="3" t="s">
        <v>48</v>
      </c>
    </row>
    <row r="42" spans="4:19" x14ac:dyDescent="0.25">
      <c r="J42" s="3" t="s">
        <v>49</v>
      </c>
      <c r="K42" s="3" t="s">
        <v>50</v>
      </c>
    </row>
    <row r="46" spans="4:19" x14ac:dyDescent="0.25">
      <c r="D46" s="9" t="s">
        <v>63</v>
      </c>
    </row>
    <row r="48" spans="4:19" ht="51" customHeight="1" x14ac:dyDescent="0.25">
      <c r="E48" s="187" t="s">
        <v>51</v>
      </c>
      <c r="F48" s="187"/>
      <c r="G48" s="187" t="s">
        <v>52</v>
      </c>
      <c r="H48" s="187"/>
      <c r="I48" s="187"/>
      <c r="J48" s="7" t="s">
        <v>53</v>
      </c>
    </row>
    <row r="49" spans="5:10" ht="26.4" x14ac:dyDescent="0.25">
      <c r="E49" s="7" t="s">
        <v>54</v>
      </c>
      <c r="F49" s="7" t="s">
        <v>55</v>
      </c>
      <c r="G49" s="7" t="s">
        <v>29</v>
      </c>
      <c r="H49" s="7" t="s">
        <v>30</v>
      </c>
      <c r="I49" s="7" t="s">
        <v>31</v>
      </c>
      <c r="J49" s="7" t="s">
        <v>56</v>
      </c>
    </row>
    <row r="50" spans="5:10" x14ac:dyDescent="0.25">
      <c r="E50" s="7">
        <v>30</v>
      </c>
      <c r="F50" s="7" t="s">
        <v>58</v>
      </c>
      <c r="G50" s="8">
        <v>1498.91</v>
      </c>
      <c r="H50" s="8">
        <v>1453.27</v>
      </c>
      <c r="I50" s="8">
        <v>1309.1500000000001</v>
      </c>
      <c r="J50" s="7"/>
    </row>
    <row r="51" spans="5:10" x14ac:dyDescent="0.25">
      <c r="E51" s="7" t="s">
        <v>59</v>
      </c>
      <c r="F51" s="7" t="s">
        <v>60</v>
      </c>
      <c r="G51" s="8">
        <v>1375.22</v>
      </c>
      <c r="H51" s="8">
        <v>1333.17</v>
      </c>
      <c r="I51" s="8">
        <v>1201.05</v>
      </c>
      <c r="J51" s="7" t="s">
        <v>57</v>
      </c>
    </row>
    <row r="52" spans="5:10" x14ac:dyDescent="0.25">
      <c r="E52" s="7" t="s">
        <v>61</v>
      </c>
      <c r="F52" s="7" t="s">
        <v>62</v>
      </c>
      <c r="G52" s="8">
        <v>1249.0899999999999</v>
      </c>
      <c r="H52" s="8">
        <v>1210.67</v>
      </c>
      <c r="I52" s="8">
        <v>1179.44</v>
      </c>
      <c r="J52" s="7"/>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2.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CUENTA DE RESULTADOS</vt:lpstr>
      <vt:lpstr>Cuenta de Tesoreria</vt:lpstr>
      <vt:lpstr>Extremadura</vt:lpstr>
      <vt:lpstr>'CUENTA DE RESULTADOS'!Área_de_impresión</vt:lpstr>
      <vt:lpstr>PROGRAMASVPOEXTREMADURA</vt:lpstr>
      <vt:lpstr>PROGVIVEXT</vt:lpstr>
      <vt:lpstr>SUPUTLEXT</vt:lpstr>
      <vt:lpstr>TIPEDIFEXT</vt:lpstr>
      <vt:lpstr>'CUENTA DE RESULTADOS'!Títulos_a_imprimir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2024-12-03T10:56:00Z</cp:lastPrinted>
  <dcterms:created xsi:type="dcterms:W3CDTF">2009-08-11T11:59:54Z</dcterms:created>
  <dcterms:modified xsi:type="dcterms:W3CDTF">2025-03-19T10:28:15Z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